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MU Portal\Kurzarbeit\Interne Informationen\Beispiel Homepage\"/>
    </mc:Choice>
  </mc:AlternateContent>
  <xr:revisionPtr revIDLastSave="0" documentId="13_ncr:1_{6928A139-CF6A-4909-9636-0675440A3173}" xr6:coauthVersionLast="36" xr6:coauthVersionMax="36" xr10:uidLastSave="{00000000-0000-0000-0000-000000000000}"/>
  <bookViews>
    <workbookView xWindow="0" yWindow="0" windowWidth="28800" windowHeight="12230" activeTab="1" xr2:uid="{89407B80-5BAC-490E-AC16-5147175EACE5}"/>
  </bookViews>
  <sheets>
    <sheet name="Übersicht" sheetId="7" r:id="rId1"/>
    <sheet name="Mai_BM" sheetId="5" r:id="rId2"/>
    <sheet name="Mai_AB" sheetId="4" r:id="rId3"/>
    <sheet name="Mai_HM" sheetId="1" r:id="rId4"/>
    <sheet name="Mai_EB" sheetId="2" r:id="rId5"/>
    <sheet name="Mai_RV" sheetId="3" r:id="rId6"/>
    <sheet name="Mai_HZ" sheetId="8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8" i="3"/>
  <c r="E10" i="2"/>
  <c r="E8" i="2"/>
  <c r="E10" i="1"/>
  <c r="E8" i="1"/>
  <c r="E10" i="4"/>
  <c r="O28" i="8" l="1"/>
  <c r="O22" i="8"/>
  <c r="R39" i="8"/>
  <c r="P28" i="8"/>
  <c r="R28" i="8" s="1"/>
  <c r="R31" i="8" l="1"/>
  <c r="R30" i="8"/>
  <c r="R29" i="8"/>
  <c r="P32" i="8" l="1"/>
  <c r="R32" i="8" s="1"/>
  <c r="R33" i="8"/>
  <c r="R22" i="8" l="1"/>
  <c r="G31" i="8"/>
  <c r="P22" i="8"/>
  <c r="R28" i="5"/>
  <c r="R24" i="5"/>
  <c r="R22" i="5"/>
  <c r="O27" i="5" s="1"/>
  <c r="R27" i="5" s="1"/>
  <c r="P22" i="5"/>
  <c r="L12" i="5"/>
  <c r="L12" i="3"/>
  <c r="R28" i="3"/>
  <c r="R24" i="3"/>
  <c r="R22" i="3"/>
  <c r="P22" i="3"/>
  <c r="G34" i="8"/>
  <c r="G34" i="3"/>
  <c r="G34" i="2"/>
  <c r="A34" i="2"/>
  <c r="G34" i="1"/>
  <c r="A34" i="1"/>
  <c r="G34" i="4"/>
  <c r="A34" i="4"/>
  <c r="R24" i="2"/>
  <c r="R24" i="1"/>
  <c r="P22" i="2"/>
  <c r="P22" i="1"/>
  <c r="R28" i="2"/>
  <c r="R22" i="2"/>
  <c r="O26" i="2" s="1"/>
  <c r="R26" i="2" s="1"/>
  <c r="R24" i="4"/>
  <c r="P22" i="4"/>
  <c r="R28" i="4"/>
  <c r="R22" i="4"/>
  <c r="O27" i="4" s="1"/>
  <c r="R27" i="4" s="1"/>
  <c r="L12" i="4"/>
  <c r="L12" i="1"/>
  <c r="A44" i="5"/>
  <c r="O22" i="3" l="1"/>
  <c r="O22" i="5"/>
  <c r="O29" i="5"/>
  <c r="R29" i="5" s="1"/>
  <c r="R23" i="5"/>
  <c r="O34" i="5" s="1"/>
  <c r="R34" i="5" s="1"/>
  <c r="O26" i="5"/>
  <c r="R26" i="5" s="1"/>
  <c r="O27" i="3"/>
  <c r="R27" i="3" s="1"/>
  <c r="O29" i="3"/>
  <c r="R29" i="3" s="1"/>
  <c r="R23" i="3"/>
  <c r="O34" i="3" s="1"/>
  <c r="O26" i="3"/>
  <c r="R26" i="3" s="1"/>
  <c r="O22" i="2"/>
  <c r="O29" i="2"/>
  <c r="R29" i="2" s="1"/>
  <c r="O27" i="2"/>
  <c r="R27" i="2" s="1"/>
  <c r="R23" i="2"/>
  <c r="O34" i="2" s="1"/>
  <c r="R34" i="2" s="1"/>
  <c r="O22" i="4"/>
  <c r="O29" i="4"/>
  <c r="R29" i="4" s="1"/>
  <c r="R23" i="4"/>
  <c r="O26" i="4"/>
  <c r="R26" i="4" s="1"/>
  <c r="R34" i="3" l="1"/>
  <c r="O34" i="4"/>
  <c r="R34" i="4" s="1"/>
  <c r="R31" i="4"/>
  <c r="R31" i="5"/>
  <c r="R31" i="3"/>
  <c r="R31" i="2"/>
  <c r="R22" i="1" l="1"/>
  <c r="R23" i="1" s="1"/>
  <c r="O34" i="1" l="1"/>
  <c r="R28" i="1"/>
  <c r="R34" i="1" l="1"/>
  <c r="O27" i="1"/>
  <c r="R27" i="1" s="1"/>
  <c r="O22" i="1"/>
  <c r="O29" i="1"/>
  <c r="R29" i="1" s="1"/>
  <c r="O26" i="1"/>
  <c r="R26" i="1" s="1"/>
  <c r="G17" i="8"/>
  <c r="G18" i="8"/>
  <c r="G19" i="8"/>
  <c r="G20" i="8"/>
  <c r="G21" i="8"/>
  <c r="G24" i="8"/>
  <c r="G25" i="8"/>
  <c r="G26" i="8"/>
  <c r="G27" i="8"/>
  <c r="G28" i="8"/>
  <c r="G32" i="8"/>
  <c r="G33" i="8"/>
  <c r="G35" i="8"/>
  <c r="G38" i="8"/>
  <c r="G39" i="8"/>
  <c r="G40" i="8"/>
  <c r="G41" i="8"/>
  <c r="G42" i="8"/>
  <c r="G17" i="3"/>
  <c r="G18" i="3"/>
  <c r="G19" i="3"/>
  <c r="G20" i="3"/>
  <c r="G21" i="3"/>
  <c r="G31" i="3"/>
  <c r="G32" i="3"/>
  <c r="G33" i="3"/>
  <c r="G38" i="3"/>
  <c r="G39" i="3"/>
  <c r="G40" i="3"/>
  <c r="G41" i="3"/>
  <c r="G42" i="3"/>
  <c r="G17" i="2"/>
  <c r="G18" i="2"/>
  <c r="G19" i="2"/>
  <c r="G20" i="2"/>
  <c r="G21" i="2"/>
  <c r="G24" i="2"/>
  <c r="G25" i="2"/>
  <c r="G26" i="2"/>
  <c r="G27" i="2"/>
  <c r="G28" i="2"/>
  <c r="G38" i="2"/>
  <c r="G39" i="2"/>
  <c r="G40" i="2"/>
  <c r="G41" i="2"/>
  <c r="G42" i="2"/>
  <c r="G17" i="1"/>
  <c r="G18" i="1"/>
  <c r="G19" i="1"/>
  <c r="G20" i="1"/>
  <c r="G21" i="1"/>
  <c r="G24" i="1"/>
  <c r="G25" i="1"/>
  <c r="G26" i="1"/>
  <c r="G27" i="1"/>
  <c r="G28" i="1"/>
  <c r="G38" i="1"/>
  <c r="G39" i="1"/>
  <c r="G40" i="1"/>
  <c r="G41" i="1"/>
  <c r="G42" i="1"/>
  <c r="G17" i="4"/>
  <c r="G18" i="4"/>
  <c r="G19" i="4"/>
  <c r="G20" i="4"/>
  <c r="G21" i="4"/>
  <c r="G24" i="4"/>
  <c r="G25" i="4"/>
  <c r="G26" i="4"/>
  <c r="G27" i="4"/>
  <c r="G28" i="4"/>
  <c r="G31" i="4"/>
  <c r="G32" i="4"/>
  <c r="G33" i="4"/>
  <c r="G35" i="4"/>
  <c r="G38" i="4"/>
  <c r="G39" i="4"/>
  <c r="G40" i="4"/>
  <c r="G41" i="4"/>
  <c r="G42" i="4"/>
  <c r="C46" i="5"/>
  <c r="I17" i="5"/>
  <c r="I18" i="5"/>
  <c r="I19" i="5"/>
  <c r="I20" i="5"/>
  <c r="I21" i="5"/>
  <c r="I24" i="5"/>
  <c r="I25" i="5"/>
  <c r="I26" i="5"/>
  <c r="I27" i="5"/>
  <c r="I28" i="5"/>
  <c r="I31" i="5"/>
  <c r="I32" i="5"/>
  <c r="I33" i="5"/>
  <c r="I35" i="5"/>
  <c r="I38" i="5"/>
  <c r="I39" i="5"/>
  <c r="I40" i="5"/>
  <c r="I41" i="5"/>
  <c r="I42" i="5"/>
  <c r="G17" i="5"/>
  <c r="G18" i="5"/>
  <c r="G19" i="5"/>
  <c r="G20" i="5"/>
  <c r="G21" i="5"/>
  <c r="G24" i="5"/>
  <c r="G25" i="5"/>
  <c r="G26" i="5"/>
  <c r="G27" i="5"/>
  <c r="G28" i="5"/>
  <c r="G31" i="5"/>
  <c r="G32" i="5"/>
  <c r="G33" i="5"/>
  <c r="G34" i="5"/>
  <c r="G35" i="5"/>
  <c r="G38" i="5"/>
  <c r="G39" i="5"/>
  <c r="G40" i="5"/>
  <c r="G41" i="5"/>
  <c r="G42" i="5"/>
  <c r="R31" i="1" l="1"/>
  <c r="E10" i="8"/>
  <c r="L12" i="8"/>
  <c r="L12" i="2"/>
  <c r="E8" i="8" l="1"/>
  <c r="I14" i="5"/>
  <c r="G4" i="7" l="1"/>
  <c r="G5" i="7"/>
  <c r="G6" i="7"/>
  <c r="G7" i="7"/>
  <c r="G9" i="7"/>
  <c r="G3" i="7"/>
  <c r="G10" i="7"/>
  <c r="C46" i="8"/>
  <c r="G12" i="7" s="1"/>
  <c r="I48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G14" i="8"/>
  <c r="G8" i="7"/>
  <c r="A1" i="8"/>
  <c r="A30" i="8" l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C47" i="8"/>
  <c r="G13" i="7" s="1"/>
  <c r="F4" i="7"/>
  <c r="F5" i="7"/>
  <c r="F6" i="7"/>
  <c r="F7" i="7"/>
  <c r="F9" i="7"/>
  <c r="F3" i="7"/>
  <c r="E4" i="7"/>
  <c r="E5" i="7"/>
  <c r="E6" i="7"/>
  <c r="E7" i="7"/>
  <c r="E9" i="7"/>
  <c r="E3" i="7"/>
  <c r="D4" i="7"/>
  <c r="D5" i="7"/>
  <c r="D6" i="7"/>
  <c r="D7" i="7"/>
  <c r="D9" i="7"/>
  <c r="D3" i="7"/>
  <c r="C4" i="7"/>
  <c r="C5" i="7"/>
  <c r="C6" i="7"/>
  <c r="C7" i="7"/>
  <c r="C9" i="7"/>
  <c r="C3" i="7"/>
  <c r="B4" i="7"/>
  <c r="B5" i="7"/>
  <c r="B6" i="7"/>
  <c r="B7" i="7"/>
  <c r="B8" i="7"/>
  <c r="B9" i="7"/>
  <c r="B3" i="7"/>
  <c r="G14" i="7" l="1"/>
  <c r="G16" i="7" s="1"/>
  <c r="C48" i="8"/>
  <c r="E10" i="5"/>
  <c r="I48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15" i="5"/>
  <c r="G14" i="5"/>
  <c r="E8" i="5"/>
  <c r="A1" i="5"/>
  <c r="I48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G14" i="4"/>
  <c r="E8" i="4"/>
  <c r="A1" i="4"/>
  <c r="I48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G14" i="3"/>
  <c r="A1" i="3"/>
  <c r="I48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G14" i="2"/>
  <c r="A1" i="2"/>
  <c r="I48" i="1"/>
  <c r="G14" i="1"/>
  <c r="A1" i="1"/>
  <c r="R35" i="1" l="1"/>
  <c r="R36" i="1" s="1"/>
  <c r="R37" i="1" s="1"/>
  <c r="L35" i="1"/>
  <c r="R35" i="3"/>
  <c r="R36" i="3" s="1"/>
  <c r="R37" i="3" s="1"/>
  <c r="L35" i="3"/>
  <c r="R35" i="2"/>
  <c r="R36" i="2" s="1"/>
  <c r="R37" i="2" s="1"/>
  <c r="L35" i="2"/>
  <c r="I26" i="4"/>
  <c r="I39" i="4"/>
  <c r="I41" i="4"/>
  <c r="I38" i="4"/>
  <c r="I17" i="4"/>
  <c r="I27" i="4"/>
  <c r="I40" i="4"/>
  <c r="I18" i="4"/>
  <c r="I28" i="4"/>
  <c r="I19" i="4"/>
  <c r="I31" i="4"/>
  <c r="I42" i="4"/>
  <c r="I35" i="4"/>
  <c r="I20" i="4"/>
  <c r="I32" i="4"/>
  <c r="I21" i="4"/>
  <c r="I33" i="4"/>
  <c r="I24" i="4"/>
  <c r="I25" i="4"/>
  <c r="C10" i="7"/>
  <c r="L35" i="4"/>
  <c r="R35" i="4"/>
  <c r="R36" i="4" s="1"/>
  <c r="R37" i="4" s="1"/>
  <c r="L35" i="5"/>
  <c r="R35" i="5"/>
  <c r="R36" i="5" s="1"/>
  <c r="R37" i="5" s="1"/>
  <c r="B10" i="7"/>
  <c r="R23" i="8"/>
  <c r="R24" i="8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I20" i="3"/>
  <c r="I24" i="3"/>
  <c r="G24" i="3" s="1"/>
  <c r="I35" i="3"/>
  <c r="I40" i="3"/>
  <c r="I25" i="3"/>
  <c r="G25" i="3" s="1"/>
  <c r="C47" i="3" s="1"/>
  <c r="F13" i="7" s="1"/>
  <c r="I38" i="3"/>
  <c r="I39" i="3"/>
  <c r="I17" i="3"/>
  <c r="I27" i="3"/>
  <c r="G27" i="3" s="1"/>
  <c r="I18" i="3"/>
  <c r="I41" i="3"/>
  <c r="I26" i="3"/>
  <c r="G26" i="3" s="1"/>
  <c r="I28" i="3"/>
  <c r="G28" i="3" s="1"/>
  <c r="I19" i="3"/>
  <c r="I31" i="3"/>
  <c r="I42" i="3"/>
  <c r="I32" i="3"/>
  <c r="I21" i="3"/>
  <c r="I33" i="3"/>
  <c r="I17" i="2"/>
  <c r="I27" i="2"/>
  <c r="I39" i="2"/>
  <c r="I18" i="2"/>
  <c r="I28" i="2"/>
  <c r="I40" i="2"/>
  <c r="I19" i="2"/>
  <c r="I31" i="2"/>
  <c r="G31" i="2" s="1"/>
  <c r="I41" i="2"/>
  <c r="I20" i="2"/>
  <c r="I32" i="2"/>
  <c r="G32" i="2" s="1"/>
  <c r="I42" i="2"/>
  <c r="I21" i="2"/>
  <c r="I33" i="2"/>
  <c r="G33" i="2" s="1"/>
  <c r="I25" i="2"/>
  <c r="I24" i="2"/>
  <c r="I35" i="2"/>
  <c r="I26" i="2"/>
  <c r="I38" i="2"/>
  <c r="D10" i="7"/>
  <c r="I20" i="1"/>
  <c r="I32" i="1"/>
  <c r="G32" i="1" s="1"/>
  <c r="I42" i="1"/>
  <c r="I21" i="1"/>
  <c r="I33" i="1"/>
  <c r="G33" i="1" s="1"/>
  <c r="C47" i="1" s="1"/>
  <c r="D13" i="7" s="1"/>
  <c r="I24" i="1"/>
  <c r="I25" i="1"/>
  <c r="I35" i="1"/>
  <c r="I18" i="1"/>
  <c r="I19" i="1"/>
  <c r="I41" i="1"/>
  <c r="I14" i="1"/>
  <c r="I26" i="1"/>
  <c r="I38" i="1"/>
  <c r="I40" i="1"/>
  <c r="I17" i="1"/>
  <c r="I27" i="1"/>
  <c r="I39" i="1"/>
  <c r="I28" i="1"/>
  <c r="I31" i="1"/>
  <c r="G31" i="1" s="1"/>
  <c r="F10" i="7"/>
  <c r="E10" i="7"/>
  <c r="F8" i="7"/>
  <c r="E8" i="7"/>
  <c r="C8" i="7"/>
  <c r="D8" i="7"/>
  <c r="C47" i="4"/>
  <c r="C13" i="7" s="1"/>
  <c r="C47" i="5"/>
  <c r="B13" i="7" s="1"/>
  <c r="I14" i="4"/>
  <c r="I14" i="3"/>
  <c r="I14" i="2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I10" i="7" l="1"/>
  <c r="I32" i="7" s="1"/>
  <c r="P25" i="8"/>
  <c r="C47" i="2"/>
  <c r="E13" i="7" s="1"/>
  <c r="I13" i="7" s="1"/>
  <c r="C46" i="4"/>
  <c r="C46" i="3"/>
  <c r="C46" i="2"/>
  <c r="E12" i="7" s="1"/>
  <c r="C46" i="1"/>
  <c r="D12" i="7" s="1"/>
  <c r="E14" i="7" l="1"/>
  <c r="E16" i="7" s="1"/>
  <c r="C48" i="5"/>
  <c r="B12" i="7"/>
  <c r="B14" i="7" s="1"/>
  <c r="B16" i="7" s="1"/>
  <c r="C48" i="3"/>
  <c r="F12" i="7"/>
  <c r="F14" i="7" s="1"/>
  <c r="F16" i="7" s="1"/>
  <c r="C48" i="4"/>
  <c r="C12" i="7"/>
  <c r="R25" i="8"/>
  <c r="R26" i="8" s="1"/>
  <c r="D14" i="7"/>
  <c r="C48" i="2"/>
  <c r="C48" i="1"/>
  <c r="O37" i="8" l="1"/>
  <c r="R37" i="8" s="1"/>
  <c r="O40" i="8"/>
  <c r="R40" i="8" s="1"/>
  <c r="O38" i="8"/>
  <c r="R38" i="8" s="1"/>
  <c r="R34" i="8"/>
  <c r="C14" i="7"/>
  <c r="I12" i="7"/>
  <c r="I24" i="7" s="1"/>
  <c r="D16" i="7"/>
  <c r="R42" i="8" l="1"/>
  <c r="C16" i="7"/>
  <c r="I16" i="7" s="1"/>
  <c r="I14" i="7"/>
  <c r="I26" i="7" s="1"/>
  <c r="I28" i="7" s="1"/>
  <c r="I34" i="7" l="1"/>
  <c r="I38" i="7" l="1"/>
  <c r="I40" i="7"/>
  <c r="I43" i="7" l="1"/>
</calcChain>
</file>

<file path=xl/sharedStrings.xml><?xml version="1.0" encoding="utf-8"?>
<sst xmlns="http://schemas.openxmlformats.org/spreadsheetml/2006/main" count="424" uniqueCount="118">
  <si>
    <t>Name:</t>
  </si>
  <si>
    <t>AHV-Nr.</t>
  </si>
  <si>
    <t>Wochenarbeitszeit in Std.</t>
  </si>
  <si>
    <t>Beschäftigungsgrad:</t>
  </si>
  <si>
    <t>Sollarbeitszeit:</t>
  </si>
  <si>
    <t>Vormittag</t>
  </si>
  <si>
    <t>Nachmittag</t>
  </si>
  <si>
    <t>Ist</t>
  </si>
  <si>
    <t>Soll</t>
  </si>
  <si>
    <t>Beginn</t>
  </si>
  <si>
    <t>Ende</t>
  </si>
  <si>
    <t>Arbeitszeit</t>
  </si>
  <si>
    <t>Differenz:</t>
  </si>
  <si>
    <t>Soll Arbeitszeit April 2020:</t>
  </si>
  <si>
    <t>Ist Arbeitszeit April 2020:</t>
  </si>
  <si>
    <t>Ferienguthaben:</t>
  </si>
  <si>
    <t>Bezogene Ferien:</t>
  </si>
  <si>
    <t>Bemerkungen:</t>
  </si>
  <si>
    <t>Stellung:</t>
  </si>
  <si>
    <t>Mitarbeiter</t>
  </si>
  <si>
    <t>AHV-pflichtiger Lohn in CHF p.M. maximal:</t>
  </si>
  <si>
    <t>Wirtschaftlich bedingter Arbeitsausfall</t>
  </si>
  <si>
    <t>Anzahl</t>
  </si>
  <si>
    <t>Anzahl anspruchsberechtigte Arbeitnehmende</t>
  </si>
  <si>
    <t>Prozentualer wirtschaftlich bedingter Arbeitsausfall</t>
  </si>
  <si>
    <t>AHV-pflichtige Lohnsumme aller anspruchsberechtigten Arbeitnehmenden</t>
  </si>
  <si>
    <t>Lohnsumme für ausgefallene Stunden (%-wirtschaftlich bedingter Arbeitsausfall)</t>
  </si>
  <si>
    <t>Entschädigung 80% der Lohnsumme für ausgefallene Stunden</t>
  </si>
  <si>
    <t>6.375% Sozialversicherungsbeiträge Arbeitgeber von Lohnsumme für ausgefallene Stunden</t>
  </si>
  <si>
    <t>Verdienstausfall</t>
  </si>
  <si>
    <t>Krankheitstage April:</t>
  </si>
  <si>
    <t>Anzahl von der Kurzarbeit (KA) betroffene Arbeitnehmer</t>
  </si>
  <si>
    <t>Summe Sollstunden insgesamt aller anspruchsberechtigten Arbeitnehmenden</t>
  </si>
  <si>
    <t>Lohnabrechnung:</t>
  </si>
  <si>
    <t>Lohnart</t>
  </si>
  <si>
    <t>Ansatz</t>
  </si>
  <si>
    <t>Total</t>
  </si>
  <si>
    <t>Monatslohn</t>
  </si>
  <si>
    <t>Bruttolohn</t>
  </si>
  <si>
    <t>AHV-Beitrag</t>
  </si>
  <si>
    <t>ALV-Beitrag</t>
  </si>
  <si>
    <t>UVG / NBU-Beitrag</t>
  </si>
  <si>
    <t>KTG-Beitrag</t>
  </si>
  <si>
    <t>BVG-Beitrag</t>
  </si>
  <si>
    <t>Nettolohn</t>
  </si>
  <si>
    <t>Mitteilungen:</t>
  </si>
  <si>
    <t>Provisorische Abrechnung, wird korrigiert sobald definitive Verfügung</t>
  </si>
  <si>
    <t>über die Kurzarbeitsentschädigung vorliegt.</t>
  </si>
  <si>
    <t>AHV-pflichtiger Lohn in CHF p.M. maximal KA:</t>
  </si>
  <si>
    <t>AHV-pflichtiger Lohn in CHF p.M. ordentlich:</t>
  </si>
  <si>
    <t>Differenz</t>
  </si>
  <si>
    <t>Prozentualer Ausfall individuell</t>
  </si>
  <si>
    <t xml:space="preserve">Std. </t>
  </si>
  <si>
    <t>Berechnung Entschädigung</t>
  </si>
  <si>
    <r>
      <rPr>
        <sz val="11"/>
        <color theme="1"/>
        <rFont val="Angsana New"/>
        <family val="1"/>
        <charset val="222"/>
      </rPr>
      <t>Ø</t>
    </r>
    <r>
      <rPr>
        <sz val="11"/>
        <color theme="1"/>
        <rFont val="Arial"/>
        <family val="2"/>
      </rPr>
      <t>-Monatsarbeitszeit der letzten 12 Monate</t>
    </r>
  </si>
  <si>
    <t>Sollarbeitszeit im Monat:</t>
  </si>
  <si>
    <t>Stundenlohn</t>
  </si>
  <si>
    <t>Feiertagsentschädigung</t>
  </si>
  <si>
    <t>Ferienentschädigung</t>
  </si>
  <si>
    <t>Anteil 13. Monatslohn</t>
  </si>
  <si>
    <t>Kinderzulage</t>
  </si>
  <si>
    <t>Wochenarbeitszeit in Std. / Monatsstunden</t>
  </si>
  <si>
    <t>Sollarbeitszeit p.W. bzw. im Monat:</t>
  </si>
  <si>
    <t>AHV-pflichtiger Stundenlohn in CHF:</t>
  </si>
  <si>
    <t>Beschäftigungsgrad (=100%, wenn Stundenlohn):</t>
  </si>
  <si>
    <t>AHV-pflichtiger Lohn in CHF p.M. (inkl. 13. Mtsl.)</t>
  </si>
  <si>
    <t>Mai 2020</t>
  </si>
  <si>
    <t>St. Gallen,</t>
  </si>
  <si>
    <t>Auszahlungen per 22.05.2020:</t>
  </si>
  <si>
    <t>Prozentualer Ausfall Vormonat</t>
  </si>
  <si>
    <t>Auszahlungsbetrag Mai</t>
  </si>
  <si>
    <t xml:space="preserve"> </t>
  </si>
  <si>
    <t>- 21.05.: Auffahrt, ganzer Tag frei</t>
  </si>
  <si>
    <t>Korrektur Kurzabeitsentschädigung Vormonat</t>
  </si>
  <si>
    <t>Abzug infolge Kurzarbeit</t>
  </si>
  <si>
    <t>Familienzulage</t>
  </si>
  <si>
    <t>Frau</t>
  </si>
  <si>
    <t>Herr</t>
  </si>
  <si>
    <t>Lohn gearbeitete Std.</t>
  </si>
  <si>
    <t>Kurzarbeitent. Std.</t>
  </si>
  <si>
    <t>Kürzung auf 80%</t>
  </si>
  <si>
    <t>Entschädigung gearbeitete Stunden</t>
  </si>
  <si>
    <t>Entschädigung Kurzarbeit</t>
  </si>
  <si>
    <t>Übersicht / Abrechnung Mai 2020</t>
  </si>
  <si>
    <r>
      <t xml:space="preserve">Mai 2020 </t>
    </r>
    <r>
      <rPr>
        <sz val="11"/>
        <color theme="1"/>
        <rFont val="Arial"/>
        <family val="2"/>
      </rPr>
      <t>(für April)</t>
    </r>
  </si>
  <si>
    <t>Inhaber</t>
  </si>
  <si>
    <t>756.9999.8888.09</t>
  </si>
  <si>
    <t>Beispiel AG</t>
  </si>
  <si>
    <t>Beispielstrasse 1</t>
  </si>
  <si>
    <t>9999 Beispielhausen</t>
  </si>
  <si>
    <t>Beispielstrasse 3</t>
  </si>
  <si>
    <t>Die Auszahlung erfolgt auf Konto CHXX</t>
  </si>
  <si>
    <t>bei der Bank X AG</t>
  </si>
  <si>
    <t>Petra Müller</t>
  </si>
  <si>
    <t>756.1111.2222.30</t>
  </si>
  <si>
    <t>Ehegatte</t>
  </si>
  <si>
    <t>Hans Muster</t>
  </si>
  <si>
    <t>756.1111.9999.88</t>
  </si>
  <si>
    <t>Beispielstrasse 49</t>
  </si>
  <si>
    <t>1111 Beispieldorf</t>
  </si>
  <si>
    <t>Erika Beispiel</t>
  </si>
  <si>
    <t>756.4444.8888.70</t>
  </si>
  <si>
    <t>Wostrasse 222</t>
  </si>
  <si>
    <t>1001 Wohinauch</t>
  </si>
  <si>
    <t>René Vorlage</t>
  </si>
  <si>
    <t>756.9999.9999.77</t>
  </si>
  <si>
    <t>Wostrasse 99</t>
  </si>
  <si>
    <t>Heidi Zufall</t>
  </si>
  <si>
    <t>Unbekanntstrasse 50</t>
  </si>
  <si>
    <t>1919 Woauimmer</t>
  </si>
  <si>
    <t>Ferien</t>
  </si>
  <si>
    <t>Brücke</t>
  </si>
  <si>
    <t>Kurzarbeitsentschädigung</t>
  </si>
  <si>
    <t>756.6666.7575.78</t>
  </si>
  <si>
    <t>Summe wirtschaftlich bedingter Ausfallstunden aller von KA betroffenen Arbeitnehmenden</t>
  </si>
  <si>
    <t>Soll-Arbeitszeit Mai</t>
  </si>
  <si>
    <t>Ist-Arbeitszeit Mai</t>
  </si>
  <si>
    <t>Benjamin 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</si>
</sst>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;@"/>
    <numFmt numFmtId="165" formatCode="[h]:mm"/>
    <numFmt numFmtId="166" formatCode="ddd\,\ dd/mm/yyyy"/>
    <numFmt numFmtId="167" formatCode="0.00_ ;[Red]\-0.00\ "/>
    <numFmt numFmtId="168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ngsana New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164" fontId="2" fillId="0" borderId="0" xfId="0" applyNumberFormat="1" applyFont="1" applyAlignment="1">
      <alignment horizontal="left"/>
    </xf>
    <xf numFmtId="0" fontId="3" fillId="0" borderId="0" xfId="0" applyFont="1"/>
    <xf numFmtId="164" fontId="3" fillId="2" borderId="0" xfId="0" applyNumberFormat="1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6" fontId="3" fillId="0" borderId="3" xfId="0" applyNumberFormat="1" applyFont="1" applyBorder="1" applyAlignment="1">
      <alignment horizontal="center"/>
    </xf>
    <xf numFmtId="46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6" fontId="3" fillId="0" borderId="6" xfId="0" applyNumberFormat="1" applyFont="1" applyBorder="1" applyAlignment="1">
      <alignment horizontal="left"/>
    </xf>
    <xf numFmtId="20" fontId="3" fillId="0" borderId="6" xfId="0" applyNumberFormat="1" applyFont="1" applyFill="1" applyBorder="1"/>
    <xf numFmtId="20" fontId="3" fillId="0" borderId="7" xfId="0" applyNumberFormat="1" applyFont="1" applyFill="1" applyBorder="1"/>
    <xf numFmtId="20" fontId="3" fillId="0" borderId="8" xfId="0" applyNumberFormat="1" applyFont="1" applyFill="1" applyBorder="1"/>
    <xf numFmtId="20" fontId="3" fillId="3" borderId="0" xfId="0" applyNumberFormat="1" applyFont="1" applyFill="1"/>
    <xf numFmtId="165" fontId="3" fillId="0" borderId="9" xfId="0" applyNumberFormat="1" applyFont="1" applyBorder="1"/>
    <xf numFmtId="20" fontId="5" fillId="3" borderId="0" xfId="0" applyNumberFormat="1" applyFont="1" applyFill="1"/>
    <xf numFmtId="0" fontId="3" fillId="3" borderId="0" xfId="0" applyFont="1" applyFill="1"/>
    <xf numFmtId="0" fontId="5" fillId="3" borderId="0" xfId="0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165" fontId="3" fillId="0" borderId="10" xfId="0" applyNumberFormat="1" applyFont="1" applyBorder="1"/>
    <xf numFmtId="2" fontId="3" fillId="0" borderId="0" xfId="0" applyNumberFormat="1" applyFont="1"/>
    <xf numFmtId="0" fontId="3" fillId="0" borderId="0" xfId="0" quotePrefix="1" applyFont="1"/>
    <xf numFmtId="0" fontId="3" fillId="0" borderId="11" xfId="0" applyFont="1" applyBorder="1"/>
    <xf numFmtId="2" fontId="3" fillId="0" borderId="11" xfId="0" applyNumberFormat="1" applyFont="1" applyBorder="1"/>
    <xf numFmtId="0" fontId="3" fillId="0" borderId="12" xfId="0" applyFont="1" applyBorder="1"/>
    <xf numFmtId="167" fontId="3" fillId="0" borderId="12" xfId="0" applyNumberFormat="1" applyFont="1" applyBorder="1"/>
    <xf numFmtId="0" fontId="3" fillId="0" borderId="13" xfId="0" applyFont="1" applyBorder="1"/>
    <xf numFmtId="0" fontId="4" fillId="0" borderId="0" xfId="0" applyFont="1"/>
    <xf numFmtId="4" fontId="3" fillId="0" borderId="1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4" fillId="0" borderId="0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4" xfId="0" applyFont="1" applyBorder="1"/>
    <xf numFmtId="0" fontId="3" fillId="0" borderId="18" xfId="0" applyFont="1" applyBorder="1"/>
    <xf numFmtId="4" fontId="3" fillId="0" borderId="18" xfId="0" applyNumberFormat="1" applyFont="1" applyBorder="1"/>
    <xf numFmtId="4" fontId="4" fillId="0" borderId="18" xfId="0" applyNumberFormat="1" applyFont="1" applyBorder="1"/>
    <xf numFmtId="4" fontId="3" fillId="0" borderId="1" xfId="0" applyNumberFormat="1" applyFont="1" applyBorder="1"/>
    <xf numFmtId="4" fontId="3" fillId="0" borderId="19" xfId="0" applyNumberFormat="1" applyFont="1" applyBorder="1"/>
    <xf numFmtId="0" fontId="0" fillId="0" borderId="0" xfId="0" applyBorder="1"/>
    <xf numFmtId="165" fontId="4" fillId="0" borderId="0" xfId="0" applyNumberFormat="1" applyFont="1" applyBorder="1"/>
    <xf numFmtId="0" fontId="4" fillId="0" borderId="0" xfId="0" applyFont="1" applyBorder="1"/>
    <xf numFmtId="49" fontId="4" fillId="0" borderId="0" xfId="0" applyNumberFormat="1" applyFont="1" applyBorder="1"/>
    <xf numFmtId="46" fontId="3" fillId="0" borderId="4" xfId="0" applyNumberFormat="1" applyFont="1" applyBorder="1"/>
    <xf numFmtId="0" fontId="3" fillId="0" borderId="2" xfId="0" applyFont="1" applyBorder="1"/>
    <xf numFmtId="0" fontId="2" fillId="0" borderId="0" xfId="0" applyFont="1"/>
    <xf numFmtId="164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4" fillId="0" borderId="15" xfId="0" applyFont="1" applyBorder="1"/>
    <xf numFmtId="0" fontId="3" fillId="0" borderId="20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/>
    <xf numFmtId="164" fontId="3" fillId="0" borderId="12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4" fontId="3" fillId="5" borderId="0" xfId="0" applyNumberFormat="1" applyFont="1" applyFill="1" applyAlignment="1">
      <alignment horizontal="left"/>
    </xf>
    <xf numFmtId="10" fontId="3" fillId="0" borderId="0" xfId="1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168" fontId="3" fillId="0" borderId="0" xfId="1" applyNumberFormat="1" applyFont="1" applyBorder="1" applyAlignment="1">
      <alignment horizontal="right"/>
    </xf>
    <xf numFmtId="4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4" fontId="3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9" fontId="3" fillId="5" borderId="0" xfId="0" applyNumberFormat="1" applyFont="1" applyFill="1" applyAlignment="1">
      <alignment horizontal="left"/>
    </xf>
    <xf numFmtId="165" fontId="3" fillId="5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Fill="1" applyAlignment="1">
      <alignment horizontal="left"/>
    </xf>
    <xf numFmtId="2" fontId="3" fillId="4" borderId="0" xfId="0" applyNumberFormat="1" applyFont="1" applyFill="1" applyAlignment="1">
      <alignment horizontal="left"/>
    </xf>
    <xf numFmtId="4" fontId="3" fillId="0" borderId="0" xfId="0" applyNumberFormat="1" applyFont="1" applyBorder="1" applyAlignment="1">
      <alignment horizontal="left"/>
    </xf>
    <xf numFmtId="167" fontId="3" fillId="4" borderId="12" xfId="0" applyNumberFormat="1" applyFont="1" applyFill="1" applyBorder="1" applyAlignment="1">
      <alignment horizontal="left"/>
    </xf>
    <xf numFmtId="10" fontId="3" fillId="0" borderId="0" xfId="1" applyNumberFormat="1" applyFont="1" applyFill="1" applyAlignment="1">
      <alignment horizontal="lef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2" fontId="3" fillId="3" borderId="18" xfId="0" applyNumberFormat="1" applyFont="1" applyFill="1" applyBorder="1" applyAlignment="1">
      <alignment horizontal="left"/>
    </xf>
    <xf numFmtId="10" fontId="3" fillId="0" borderId="18" xfId="1" applyNumberFormat="1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4" fontId="3" fillId="3" borderId="18" xfId="0" applyNumberFormat="1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left"/>
    </xf>
    <xf numFmtId="4" fontId="3" fillId="0" borderId="18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4" fontId="4" fillId="0" borderId="22" xfId="0" applyNumberFormat="1" applyFont="1" applyBorder="1"/>
    <xf numFmtId="9" fontId="3" fillId="0" borderId="11" xfId="1" applyFont="1" applyBorder="1" applyAlignment="1">
      <alignment horizontal="right"/>
    </xf>
    <xf numFmtId="4" fontId="4" fillId="0" borderId="22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horizontal="left"/>
    </xf>
    <xf numFmtId="10" fontId="3" fillId="4" borderId="0" xfId="1" applyNumberFormat="1" applyFont="1" applyFill="1" applyBorder="1" applyAlignment="1">
      <alignment horizontal="right"/>
    </xf>
    <xf numFmtId="166" fontId="3" fillId="6" borderId="6" xfId="0" applyNumberFormat="1" applyFont="1" applyFill="1" applyBorder="1" applyAlignment="1">
      <alignment horizontal="left"/>
    </xf>
    <xf numFmtId="20" fontId="3" fillId="6" borderId="6" xfId="0" applyNumberFormat="1" applyFont="1" applyFill="1" applyBorder="1"/>
    <xf numFmtId="20" fontId="3" fillId="6" borderId="7" xfId="0" applyNumberFormat="1" applyFont="1" applyFill="1" applyBorder="1"/>
    <xf numFmtId="0" fontId="3" fillId="6" borderId="8" xfId="0" applyFont="1" applyFill="1" applyBorder="1"/>
    <xf numFmtId="0" fontId="3" fillId="6" borderId="6" xfId="0" applyFont="1" applyFill="1" applyBorder="1"/>
    <xf numFmtId="165" fontId="3" fillId="6" borderId="9" xfId="0" applyNumberFormat="1" applyFont="1" applyFill="1" applyBorder="1"/>
    <xf numFmtId="4" fontId="3" fillId="0" borderId="0" xfId="0" applyNumberFormat="1" applyFont="1"/>
    <xf numFmtId="9" fontId="3" fillId="0" borderId="0" xfId="0" applyNumberFormat="1" applyFont="1"/>
    <xf numFmtId="9" fontId="3" fillId="0" borderId="0" xfId="1" applyFont="1"/>
    <xf numFmtId="9" fontId="3" fillId="0" borderId="11" xfId="0" applyNumberFormat="1" applyFont="1" applyBorder="1"/>
    <xf numFmtId="20" fontId="3" fillId="0" borderId="6" xfId="0" applyNumberFormat="1" applyFont="1" applyBorder="1"/>
    <xf numFmtId="20" fontId="3" fillId="0" borderId="7" xfId="0" applyNumberFormat="1" applyFont="1" applyBorder="1"/>
    <xf numFmtId="20" fontId="3" fillId="0" borderId="8" xfId="0" applyNumberFormat="1" applyFont="1" applyBorder="1"/>
    <xf numFmtId="0" fontId="3" fillId="0" borderId="8" xfId="0" applyFont="1" applyBorder="1"/>
    <xf numFmtId="0" fontId="3" fillId="0" borderId="6" xfId="0" applyFont="1" applyBorder="1"/>
    <xf numFmtId="0" fontId="3" fillId="6" borderId="7" xfId="0" applyFont="1" applyFill="1" applyBorder="1"/>
    <xf numFmtId="0" fontId="3" fillId="0" borderId="7" xfId="0" applyFont="1" applyBorder="1"/>
    <xf numFmtId="0" fontId="3" fillId="6" borderId="0" xfId="0" quotePrefix="1" applyFont="1" applyFill="1"/>
    <xf numFmtId="0" fontId="3" fillId="6" borderId="0" xfId="0" applyFont="1" applyFill="1"/>
    <xf numFmtId="4" fontId="4" fillId="0" borderId="18" xfId="0" applyNumberFormat="1" applyFont="1" applyBorder="1" applyAlignment="1">
      <alignment horizontal="left"/>
    </xf>
    <xf numFmtId="4" fontId="3" fillId="4" borderId="0" xfId="0" applyNumberFormat="1" applyFont="1" applyFill="1" applyBorder="1" applyAlignment="1">
      <alignment horizontal="right"/>
    </xf>
    <xf numFmtId="2" fontId="3" fillId="4" borderId="0" xfId="0" applyNumberFormat="1" applyFont="1" applyFill="1"/>
    <xf numFmtId="4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4" fontId="3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9" fontId="3" fillId="5" borderId="0" xfId="0" applyNumberFormat="1" applyFont="1" applyFill="1" applyAlignment="1">
      <alignment horizontal="left"/>
    </xf>
    <xf numFmtId="165" fontId="3" fillId="5" borderId="0" xfId="0" applyNumberFormat="1" applyFont="1" applyFill="1" applyAlignment="1">
      <alignment horizontal="left"/>
    </xf>
  </cellXfs>
  <cellStyles count="2">
    <cellStyle name="Prozent" xfId="1" builtinId="5"/>
    <cellStyle name="Standard" xfId="0" builtinId="0"/>
  </cellStyles>
  <dxfs count="35"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CF8E-ECD8-4494-93BD-DD10C79CFDC7}">
  <sheetPr>
    <tabColor rgb="FFC00000"/>
    <pageSetUpPr fitToPage="1"/>
  </sheetPr>
  <dimension ref="A1:I44"/>
  <sheetViews>
    <sheetView workbookViewId="0">
      <selection activeCell="K16" sqref="K16"/>
    </sheetView>
  </sheetViews>
  <sheetFormatPr baseColWidth="10" defaultColWidth="11.453125" defaultRowHeight="14" x14ac:dyDescent="0.3"/>
  <cols>
    <col min="1" max="1" width="51.7265625" style="2" customWidth="1"/>
    <col min="2" max="7" width="20.7265625" style="55" customWidth="1"/>
    <col min="8" max="8" width="5.26953125" style="55" bestFit="1" customWidth="1"/>
    <col min="9" max="9" width="11.453125" style="55"/>
    <col min="10" max="16384" width="11.453125" style="2"/>
  </cols>
  <sheetData>
    <row r="1" spans="1:9" x14ac:dyDescent="0.3">
      <c r="A1" s="52" t="s">
        <v>83</v>
      </c>
    </row>
    <row r="3" spans="1:9" x14ac:dyDescent="0.3">
      <c r="A3" s="53" t="s">
        <v>0</v>
      </c>
      <c r="B3" s="73" t="str">
        <f>Mai_BM!E3</f>
        <v>Benjamin Müller</v>
      </c>
      <c r="C3" s="73" t="str">
        <f>Mai_AB!E3</f>
        <v>Petra Müller</v>
      </c>
      <c r="D3" s="73" t="str">
        <f>Mai_HM!E3</f>
        <v>Hans Muster</v>
      </c>
      <c r="E3" s="73" t="str">
        <f>Mai_EB!E3</f>
        <v>Erika Beispiel</v>
      </c>
      <c r="F3" s="73" t="str">
        <f>Mai_RV!E3</f>
        <v>René Vorlage</v>
      </c>
      <c r="G3" s="78" t="str">
        <f>Mai_HZ!E3</f>
        <v>Heidi Zufall</v>
      </c>
      <c r="I3" s="73" t="s">
        <v>36</v>
      </c>
    </row>
    <row r="4" spans="1:9" x14ac:dyDescent="0.3">
      <c r="A4" s="53" t="s">
        <v>1</v>
      </c>
      <c r="B4" s="74" t="str">
        <f>Mai_BM!E4</f>
        <v>756.9999.8888.09</v>
      </c>
      <c r="C4" s="74" t="str">
        <f>Mai_AB!E4</f>
        <v>756.1111.2222.30</v>
      </c>
      <c r="D4" s="74" t="str">
        <f>Mai_HM!E4</f>
        <v>756.1111.9999.88</v>
      </c>
      <c r="E4" s="74" t="str">
        <f>Mai_EB!E4</f>
        <v>756.4444.8888.70</v>
      </c>
      <c r="F4" s="74" t="str">
        <f>Mai_RV!E4</f>
        <v>756.9999.9999.77</v>
      </c>
      <c r="G4" s="79" t="str">
        <f>Mai_HZ!E4</f>
        <v>756.6666.7575.78</v>
      </c>
      <c r="I4" s="74"/>
    </row>
    <row r="5" spans="1:9" x14ac:dyDescent="0.3">
      <c r="A5" s="53" t="s">
        <v>18</v>
      </c>
      <c r="B5" s="74" t="str">
        <f>Mai_BM!E5</f>
        <v>Inhaber</v>
      </c>
      <c r="C5" s="74" t="str">
        <f>Mai_AB!E5</f>
        <v>Ehegatte</v>
      </c>
      <c r="D5" s="74" t="str">
        <f>Mai_HM!E5</f>
        <v>Mitarbeiter</v>
      </c>
      <c r="E5" s="74" t="str">
        <f>Mai_EB!E5</f>
        <v>Mitarbeiter</v>
      </c>
      <c r="F5" s="74" t="str">
        <f>Mai_RV!E5</f>
        <v>Mitarbeiter</v>
      </c>
      <c r="G5" s="79" t="str">
        <f>Mai_HZ!E5</f>
        <v>Stundenlohn</v>
      </c>
      <c r="I5" s="74"/>
    </row>
    <row r="6" spans="1:9" x14ac:dyDescent="0.3">
      <c r="A6" s="53" t="s">
        <v>61</v>
      </c>
      <c r="B6" s="74">
        <f>Mai_BM!E6</f>
        <v>42</v>
      </c>
      <c r="C6" s="74">
        <f>Mai_AB!E6</f>
        <v>42</v>
      </c>
      <c r="D6" s="74">
        <f>Mai_HM!E6</f>
        <v>42</v>
      </c>
      <c r="E6" s="74">
        <f>Mai_EB!E6</f>
        <v>42</v>
      </c>
      <c r="F6" s="74">
        <f>Mai_RV!E6</f>
        <v>42</v>
      </c>
      <c r="G6" s="79">
        <f>Mai_HZ!E6</f>
        <v>110</v>
      </c>
      <c r="I6" s="74"/>
    </row>
    <row r="7" spans="1:9" x14ac:dyDescent="0.3">
      <c r="A7" s="53" t="s">
        <v>3</v>
      </c>
      <c r="B7" s="75">
        <f>Mai_BM!E7</f>
        <v>1</v>
      </c>
      <c r="C7" s="75">
        <f>Mai_AB!E7</f>
        <v>0.5</v>
      </c>
      <c r="D7" s="75">
        <f>Mai_HM!E7</f>
        <v>1</v>
      </c>
      <c r="E7" s="75">
        <f>Mai_EB!E7</f>
        <v>1</v>
      </c>
      <c r="F7" s="75">
        <f>Mai_RV!E7</f>
        <v>0.8</v>
      </c>
      <c r="G7" s="80">
        <f>Mai_HZ!E7</f>
        <v>1</v>
      </c>
      <c r="I7" s="74"/>
    </row>
    <row r="8" spans="1:9" x14ac:dyDescent="0.3">
      <c r="A8" s="53" t="s">
        <v>62</v>
      </c>
      <c r="B8" s="76">
        <f>Mai_BM!E8</f>
        <v>1.75</v>
      </c>
      <c r="C8" s="76">
        <f>Mai_AB!E8</f>
        <v>0.875</v>
      </c>
      <c r="D8" s="76">
        <f>Mai_HM!E8</f>
        <v>1.75</v>
      </c>
      <c r="E8" s="76">
        <f>Mai_EB!E8</f>
        <v>1.75</v>
      </c>
      <c r="F8" s="76">
        <f>Mai_RV!E8</f>
        <v>1.4000000000000001</v>
      </c>
      <c r="G8" s="81">
        <f>Mai_HZ!E8</f>
        <v>4.583333333333333</v>
      </c>
      <c r="I8" s="76"/>
    </row>
    <row r="9" spans="1:9" x14ac:dyDescent="0.3">
      <c r="A9" s="53" t="s">
        <v>49</v>
      </c>
      <c r="B9" s="72">
        <f>Mai_BM!E9</f>
        <v>8000</v>
      </c>
      <c r="C9" s="72">
        <f>Mai_AB!E9</f>
        <v>3000</v>
      </c>
      <c r="D9" s="72">
        <f>Mai_HM!E9</f>
        <v>7000</v>
      </c>
      <c r="E9" s="72">
        <f>Mai_EB!E9</f>
        <v>15000</v>
      </c>
      <c r="F9" s="72">
        <f>Mai_RV!E9</f>
        <v>4200</v>
      </c>
      <c r="G9" s="77">
        <f>Mai_HZ!E9</f>
        <v>35.700000000000003</v>
      </c>
      <c r="H9" s="82"/>
      <c r="I9" s="72"/>
    </row>
    <row r="10" spans="1:9" x14ac:dyDescent="0.3">
      <c r="A10" s="53" t="s">
        <v>48</v>
      </c>
      <c r="B10" s="72">
        <f>Mai_BM!E10</f>
        <v>4150</v>
      </c>
      <c r="C10" s="72">
        <f>Mai_AB!E10</f>
        <v>3000</v>
      </c>
      <c r="D10" s="72">
        <f>Mai_HM!E10</f>
        <v>7000</v>
      </c>
      <c r="E10" s="72">
        <f>Mai_EB!E10</f>
        <v>12350</v>
      </c>
      <c r="F10" s="72">
        <f>Mai_RV!E10</f>
        <v>4200</v>
      </c>
      <c r="G10" s="77">
        <f>Mai_HZ!E10</f>
        <v>4803.45</v>
      </c>
      <c r="H10" s="82"/>
      <c r="I10" s="72">
        <f>SUM(B10:G10)</f>
        <v>35503.449999999997</v>
      </c>
    </row>
    <row r="11" spans="1:9" s="54" customFormat="1" x14ac:dyDescent="0.3">
      <c r="A11" s="53"/>
      <c r="B11" s="83"/>
      <c r="C11" s="83"/>
      <c r="D11" s="83"/>
      <c r="E11" s="83"/>
      <c r="F11" s="83"/>
      <c r="G11" s="83"/>
      <c r="H11" s="82"/>
      <c r="I11" s="83"/>
    </row>
    <row r="12" spans="1:9" s="54" customFormat="1" x14ac:dyDescent="0.3">
      <c r="A12" s="61" t="s">
        <v>115</v>
      </c>
      <c r="B12" s="84">
        <f>Mai_BM!C46</f>
        <v>167.99999999999994</v>
      </c>
      <c r="C12" s="84">
        <f>Mai_AB!C46</f>
        <v>83.999999999999972</v>
      </c>
      <c r="D12" s="84">
        <f>Mai_HM!C46</f>
        <v>167.99999999999994</v>
      </c>
      <c r="E12" s="84">
        <f>Mai_EB!C46</f>
        <v>167.99999999999994</v>
      </c>
      <c r="F12" s="84">
        <f>Mai_RV!C46</f>
        <v>134.40000000000009</v>
      </c>
      <c r="G12" s="84">
        <f>Mai_HZ!C46</f>
        <v>110</v>
      </c>
      <c r="H12" s="85"/>
      <c r="I12" s="84">
        <f>SUM(B12:G12)</f>
        <v>832.39999999999986</v>
      </c>
    </row>
    <row r="13" spans="1:9" s="54" customFormat="1" x14ac:dyDescent="0.3">
      <c r="A13" s="53" t="s">
        <v>116</v>
      </c>
      <c r="B13" s="84">
        <f>Mai_BM!C47</f>
        <v>116.5</v>
      </c>
      <c r="C13" s="84">
        <f>Mai_AB!C47</f>
        <v>36</v>
      </c>
      <c r="D13" s="84">
        <f>Mai_HM!C47</f>
        <v>118.01666666666665</v>
      </c>
      <c r="E13" s="84">
        <f>Mai_EB!C47</f>
        <v>133.01666666666665</v>
      </c>
      <c r="F13" s="84">
        <f>Mai_RV!C47</f>
        <v>96.649999999999977</v>
      </c>
      <c r="G13" s="84">
        <f>Mai_HZ!C47</f>
        <v>54</v>
      </c>
      <c r="H13" s="85"/>
      <c r="I13" s="84">
        <f>SUM(B13:G13)</f>
        <v>554.18333333333328</v>
      </c>
    </row>
    <row r="14" spans="1:9" s="54" customFormat="1" ht="14.5" thickBot="1" x14ac:dyDescent="0.35">
      <c r="A14" s="62" t="s">
        <v>50</v>
      </c>
      <c r="B14" s="86">
        <f>B13-B12</f>
        <v>-51.499999999999943</v>
      </c>
      <c r="C14" s="86">
        <f t="shared" ref="C14:G14" si="0">C13-C12</f>
        <v>-47.999999999999972</v>
      </c>
      <c r="D14" s="86">
        <f t="shared" si="0"/>
        <v>-49.983333333333292</v>
      </c>
      <c r="E14" s="86">
        <f t="shared" si="0"/>
        <v>-34.983333333333292</v>
      </c>
      <c r="F14" s="86">
        <f t="shared" si="0"/>
        <v>-37.750000000000114</v>
      </c>
      <c r="G14" s="86">
        <f t="shared" si="0"/>
        <v>-56</v>
      </c>
      <c r="H14" s="85"/>
      <c r="I14" s="86">
        <f>SUM(B14:G14)</f>
        <v>-278.21666666666658</v>
      </c>
    </row>
    <row r="15" spans="1:9" ht="14.5" thickTop="1" x14ac:dyDescent="0.3">
      <c r="A15" s="54"/>
      <c r="H15" s="85"/>
    </row>
    <row r="16" spans="1:9" s="55" customFormat="1" x14ac:dyDescent="0.3">
      <c r="A16" s="63" t="s">
        <v>51</v>
      </c>
      <c r="B16" s="87">
        <f>B14/B12</f>
        <v>-0.30654761904761879</v>
      </c>
      <c r="C16" s="87">
        <f t="shared" ref="C16:E16" si="1">C14/C12</f>
        <v>-0.57142857142857129</v>
      </c>
      <c r="D16" s="87">
        <f t="shared" si="1"/>
        <v>-0.2975198412698411</v>
      </c>
      <c r="E16" s="87">
        <f t="shared" si="1"/>
        <v>-0.2082341269841268</v>
      </c>
      <c r="F16" s="87">
        <f>F14/F12</f>
        <v>-0.28087797619047683</v>
      </c>
      <c r="G16" s="87">
        <f>G14/G12</f>
        <v>-0.50909090909090904</v>
      </c>
      <c r="H16" s="85"/>
      <c r="I16" s="87">
        <f>SUM(B16:G16)/5</f>
        <v>-0.43473980880230878</v>
      </c>
    </row>
    <row r="17" spans="1:9" ht="14.5" thickBot="1" x14ac:dyDescent="0.35">
      <c r="A17" s="34"/>
      <c r="B17" s="89"/>
      <c r="C17" s="89"/>
      <c r="D17" s="89"/>
      <c r="E17" s="89"/>
      <c r="F17" s="89"/>
      <c r="G17" s="89"/>
      <c r="H17" s="88"/>
      <c r="I17" s="89"/>
    </row>
    <row r="18" spans="1:9" x14ac:dyDescent="0.3">
      <c r="A18" s="56" t="s">
        <v>21</v>
      </c>
      <c r="B18" s="90"/>
      <c r="C18" s="90"/>
      <c r="D18" s="90"/>
      <c r="E18" s="90"/>
      <c r="F18" s="90"/>
      <c r="G18" s="90"/>
      <c r="H18" s="90"/>
      <c r="I18" s="91"/>
    </row>
    <row r="19" spans="1:9" ht="5.15" customHeight="1" x14ac:dyDescent="0.3">
      <c r="A19" s="40"/>
      <c r="B19" s="88"/>
      <c r="C19" s="88"/>
      <c r="D19" s="88"/>
      <c r="E19" s="88"/>
      <c r="F19" s="88"/>
      <c r="G19" s="88"/>
      <c r="H19" s="88"/>
      <c r="I19" s="92"/>
    </row>
    <row r="20" spans="1:9" x14ac:dyDescent="0.3">
      <c r="A20" s="40" t="s">
        <v>23</v>
      </c>
      <c r="B20" s="88"/>
      <c r="C20" s="88"/>
      <c r="D20" s="88"/>
      <c r="E20" s="88"/>
      <c r="F20" s="88"/>
      <c r="G20" s="88"/>
      <c r="H20" s="88"/>
      <c r="I20" s="93">
        <v>6</v>
      </c>
    </row>
    <row r="21" spans="1:9" ht="5.15" customHeight="1" x14ac:dyDescent="0.3">
      <c r="A21" s="40"/>
      <c r="B21" s="88"/>
      <c r="C21" s="88"/>
      <c r="D21" s="88"/>
      <c r="E21" s="88"/>
      <c r="F21" s="88"/>
      <c r="G21" s="88"/>
      <c r="H21" s="88"/>
      <c r="I21" s="92"/>
    </row>
    <row r="22" spans="1:9" x14ac:dyDescent="0.3">
      <c r="A22" s="40" t="s">
        <v>31</v>
      </c>
      <c r="B22" s="88"/>
      <c r="C22" s="88"/>
      <c r="D22" s="88"/>
      <c r="E22" s="88"/>
      <c r="F22" s="88"/>
      <c r="G22" s="88"/>
      <c r="H22" s="88"/>
      <c r="I22" s="93">
        <v>6</v>
      </c>
    </row>
    <row r="23" spans="1:9" ht="5.15" customHeight="1" x14ac:dyDescent="0.3">
      <c r="A23" s="40"/>
      <c r="B23" s="88"/>
      <c r="C23" s="88"/>
      <c r="D23" s="88"/>
      <c r="E23" s="88"/>
      <c r="F23" s="88"/>
      <c r="G23" s="88"/>
      <c r="H23" s="88"/>
      <c r="I23" s="92"/>
    </row>
    <row r="24" spans="1:9" x14ac:dyDescent="0.3">
      <c r="A24" s="40" t="s">
        <v>32</v>
      </c>
      <c r="B24" s="88"/>
      <c r="C24" s="88"/>
      <c r="D24" s="88"/>
      <c r="E24" s="88"/>
      <c r="F24" s="88"/>
      <c r="G24" s="88"/>
      <c r="H24" s="88" t="s">
        <v>52</v>
      </c>
      <c r="I24" s="94">
        <f>I12</f>
        <v>832.39999999999986</v>
      </c>
    </row>
    <row r="25" spans="1:9" ht="5.15" customHeight="1" x14ac:dyDescent="0.3">
      <c r="A25" s="40"/>
      <c r="B25" s="88"/>
      <c r="C25" s="88"/>
      <c r="D25" s="88"/>
      <c r="E25" s="88"/>
      <c r="F25" s="88"/>
      <c r="G25" s="88"/>
      <c r="H25" s="88"/>
      <c r="I25" s="92"/>
    </row>
    <row r="26" spans="1:9" x14ac:dyDescent="0.3">
      <c r="A26" s="40" t="s">
        <v>114</v>
      </c>
      <c r="B26" s="88"/>
      <c r="C26" s="88"/>
      <c r="D26" s="88"/>
      <c r="E26" s="88"/>
      <c r="F26" s="88"/>
      <c r="G26" s="88"/>
      <c r="H26" s="88" t="s">
        <v>52</v>
      </c>
      <c r="I26" s="94">
        <f>I14*-1</f>
        <v>278.21666666666658</v>
      </c>
    </row>
    <row r="27" spans="1:9" ht="5.15" customHeight="1" x14ac:dyDescent="0.3">
      <c r="A27" s="40"/>
      <c r="B27" s="88"/>
      <c r="C27" s="88"/>
      <c r="D27" s="88"/>
      <c r="E27" s="88"/>
      <c r="F27" s="88"/>
      <c r="G27" s="88"/>
      <c r="H27" s="88"/>
      <c r="I27" s="92"/>
    </row>
    <row r="28" spans="1:9" x14ac:dyDescent="0.3">
      <c r="A28" s="40" t="s">
        <v>24</v>
      </c>
      <c r="B28" s="88"/>
      <c r="C28" s="88"/>
      <c r="D28" s="88"/>
      <c r="E28" s="88"/>
      <c r="F28" s="88"/>
      <c r="G28" s="88"/>
      <c r="H28" s="88"/>
      <c r="I28" s="95">
        <f>IF(I26/I24&gt;90%,"K.A.",I26/I24)</f>
        <v>0.33423434246355915</v>
      </c>
    </row>
    <row r="29" spans="1:9" x14ac:dyDescent="0.3">
      <c r="A29" s="57"/>
      <c r="B29" s="96"/>
      <c r="C29" s="96"/>
      <c r="D29" s="96"/>
      <c r="E29" s="96"/>
      <c r="F29" s="96"/>
      <c r="G29" s="96"/>
      <c r="H29" s="96"/>
      <c r="I29" s="97"/>
    </row>
    <row r="30" spans="1:9" x14ac:dyDescent="0.3">
      <c r="A30" s="58" t="s">
        <v>29</v>
      </c>
      <c r="B30" s="88"/>
      <c r="C30" s="88"/>
      <c r="D30" s="88"/>
      <c r="E30" s="88"/>
      <c r="F30" s="88"/>
      <c r="G30" s="88"/>
      <c r="H30" s="88"/>
      <c r="I30" s="92"/>
    </row>
    <row r="31" spans="1:9" ht="5.15" customHeight="1" x14ac:dyDescent="0.3">
      <c r="A31" s="40"/>
      <c r="B31" s="88"/>
      <c r="C31" s="88"/>
      <c r="D31" s="88"/>
      <c r="E31" s="88"/>
      <c r="F31" s="88"/>
      <c r="G31" s="88"/>
      <c r="H31" s="88"/>
      <c r="I31" s="92"/>
    </row>
    <row r="32" spans="1:9" x14ac:dyDescent="0.3">
      <c r="A32" s="40" t="s">
        <v>25</v>
      </c>
      <c r="B32" s="88"/>
      <c r="C32" s="88"/>
      <c r="D32" s="88"/>
      <c r="E32" s="88"/>
      <c r="F32" s="88"/>
      <c r="G32" s="88"/>
      <c r="H32" s="88"/>
      <c r="I32" s="98">
        <f>I10</f>
        <v>35503.449999999997</v>
      </c>
    </row>
    <row r="33" spans="1:9" ht="5.15" customHeight="1" thickBot="1" x14ac:dyDescent="0.35">
      <c r="A33" s="40"/>
      <c r="B33" s="88"/>
      <c r="C33" s="88"/>
      <c r="D33" s="88"/>
      <c r="E33" s="88"/>
      <c r="F33" s="88"/>
      <c r="G33" s="88"/>
      <c r="H33" s="88"/>
      <c r="I33" s="92"/>
    </row>
    <row r="34" spans="1:9" ht="14.5" thickBot="1" x14ac:dyDescent="0.35">
      <c r="A34" s="40" t="s">
        <v>26</v>
      </c>
      <c r="B34" s="88"/>
      <c r="C34" s="88"/>
      <c r="D34" s="88"/>
      <c r="E34" s="88"/>
      <c r="F34" s="88"/>
      <c r="G34" s="88"/>
      <c r="H34" s="88"/>
      <c r="I34" s="99">
        <f>ROUND(I32*I28*-1*2,1)/2*-1</f>
        <v>11866.45</v>
      </c>
    </row>
    <row r="35" spans="1:9" x14ac:dyDescent="0.3">
      <c r="A35" s="57"/>
      <c r="B35" s="96"/>
      <c r="C35" s="96"/>
      <c r="D35" s="96"/>
      <c r="E35" s="96"/>
      <c r="F35" s="96"/>
      <c r="G35" s="96"/>
      <c r="H35" s="96"/>
      <c r="I35" s="97"/>
    </row>
    <row r="36" spans="1:9" x14ac:dyDescent="0.3">
      <c r="A36" s="58" t="s">
        <v>53</v>
      </c>
      <c r="B36" s="88"/>
      <c r="C36" s="88"/>
      <c r="D36" s="88"/>
      <c r="E36" s="88"/>
      <c r="F36" s="88"/>
      <c r="G36" s="88"/>
      <c r="H36" s="88"/>
      <c r="I36" s="92"/>
    </row>
    <row r="37" spans="1:9" ht="5.15" customHeight="1" thickBot="1" x14ac:dyDescent="0.35">
      <c r="A37" s="40"/>
      <c r="B37" s="88"/>
      <c r="C37" s="88"/>
      <c r="D37" s="88"/>
      <c r="E37" s="88"/>
      <c r="F37" s="88"/>
      <c r="G37" s="88"/>
      <c r="H37" s="88"/>
      <c r="I37" s="92"/>
    </row>
    <row r="38" spans="1:9" ht="14.5" thickBot="1" x14ac:dyDescent="0.35">
      <c r="A38" s="40" t="s">
        <v>27</v>
      </c>
      <c r="B38" s="88"/>
      <c r="C38" s="88"/>
      <c r="D38" s="88"/>
      <c r="E38" s="88"/>
      <c r="F38" s="88"/>
      <c r="G38" s="88"/>
      <c r="H38" s="88"/>
      <c r="I38" s="99">
        <f>ROUND(I34*0.8*-1*2,1)/2*-1</f>
        <v>9493.15</v>
      </c>
    </row>
    <row r="39" spans="1:9" ht="5.15" customHeight="1" thickBot="1" x14ac:dyDescent="0.35">
      <c r="A39" s="40"/>
      <c r="B39" s="88"/>
      <c r="C39" s="88"/>
      <c r="D39" s="88"/>
      <c r="E39" s="88"/>
      <c r="F39" s="88"/>
      <c r="G39" s="88"/>
      <c r="H39" s="88"/>
      <c r="I39" s="100"/>
    </row>
    <row r="40" spans="1:9" ht="14.5" thickBot="1" x14ac:dyDescent="0.35">
      <c r="A40" s="40" t="s">
        <v>28</v>
      </c>
      <c r="B40" s="88"/>
      <c r="C40" s="88"/>
      <c r="D40" s="88"/>
      <c r="E40" s="88"/>
      <c r="F40" s="88"/>
      <c r="G40" s="88"/>
      <c r="H40" s="88"/>
      <c r="I40" s="99">
        <f>ROUND(I34*0.06375*2,1)/2</f>
        <v>756.5</v>
      </c>
    </row>
    <row r="41" spans="1:9" ht="14.5" thickBot="1" x14ac:dyDescent="0.35">
      <c r="A41" s="51"/>
      <c r="B41" s="101"/>
      <c r="C41" s="101"/>
      <c r="D41" s="101"/>
      <c r="E41" s="101"/>
      <c r="F41" s="101"/>
      <c r="G41" s="101"/>
      <c r="H41" s="101"/>
      <c r="I41" s="102"/>
    </row>
    <row r="42" spans="1:9" x14ac:dyDescent="0.3">
      <c r="A42" s="37"/>
      <c r="B42" s="90"/>
      <c r="C42" s="90"/>
      <c r="D42" s="90"/>
      <c r="E42" s="90"/>
      <c r="F42" s="90"/>
      <c r="G42" s="90"/>
      <c r="H42" s="90"/>
      <c r="I42" s="91"/>
    </row>
    <row r="43" spans="1:9" x14ac:dyDescent="0.3">
      <c r="A43" s="58" t="s">
        <v>112</v>
      </c>
      <c r="B43" s="88"/>
      <c r="C43" s="88"/>
      <c r="D43" s="88"/>
      <c r="E43" s="88"/>
      <c r="F43" s="88"/>
      <c r="G43" s="88"/>
      <c r="H43" s="88"/>
      <c r="I43" s="127">
        <f>I38+I40</f>
        <v>10249.65</v>
      </c>
    </row>
    <row r="44" spans="1:9" ht="14.5" thickBot="1" x14ac:dyDescent="0.35">
      <c r="A44" s="51"/>
      <c r="B44" s="101"/>
      <c r="C44" s="101"/>
      <c r="D44" s="101"/>
      <c r="E44" s="101"/>
      <c r="F44" s="101"/>
      <c r="G44" s="101"/>
      <c r="H44" s="101"/>
      <c r="I44" s="102"/>
    </row>
  </sheetData>
  <pageMargins left="0.7" right="0.7" top="0.78740157499999996" bottom="0.78740157499999996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368-7F07-4E3C-A3FC-B7006E5F98A0}">
  <sheetPr>
    <tabColor rgb="FF92D050"/>
  </sheetPr>
  <dimension ref="A1:S61"/>
  <sheetViews>
    <sheetView tabSelected="1" workbookViewId="0">
      <selection activeCell="E10" sqref="E10:G10"/>
    </sheetView>
  </sheetViews>
  <sheetFormatPr baseColWidth="10" defaultRowHeight="14.5" x14ac:dyDescent="0.35"/>
  <cols>
    <col min="1" max="1" width="18.7265625" style="2" customWidth="1"/>
    <col min="2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26953125" customWidth="1"/>
    <col min="11" max="11" width="2.7265625" customWidth="1"/>
    <col min="16" max="16" width="10.26953125" customWidth="1"/>
    <col min="19" max="19" width="2.7265625" customWidth="1"/>
  </cols>
  <sheetData>
    <row r="1" spans="1:19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19" s="2" customFormat="1" ht="14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19" s="2" customFormat="1" ht="15" customHeight="1" x14ac:dyDescent="0.3">
      <c r="A3" s="3" t="s">
        <v>0</v>
      </c>
      <c r="B3" s="4"/>
      <c r="C3" s="4"/>
      <c r="D3" s="4"/>
      <c r="E3" s="134" t="s">
        <v>117</v>
      </c>
      <c r="F3" s="134"/>
      <c r="G3" s="134"/>
      <c r="H3" s="4"/>
      <c r="I3" s="4"/>
      <c r="K3" s="40"/>
      <c r="L3" s="34"/>
      <c r="M3" s="34"/>
      <c r="N3" s="34"/>
      <c r="O3" s="34"/>
      <c r="P3" s="34"/>
      <c r="Q3" s="34"/>
      <c r="R3" s="34"/>
      <c r="S3" s="41"/>
    </row>
    <row r="4" spans="1:19" s="2" customFormat="1" ht="14" x14ac:dyDescent="0.3">
      <c r="A4" s="3" t="s">
        <v>1</v>
      </c>
      <c r="B4" s="4"/>
      <c r="C4" s="4"/>
      <c r="D4" s="4"/>
      <c r="E4" s="135" t="s">
        <v>86</v>
      </c>
      <c r="F4" s="135"/>
      <c r="G4" s="135"/>
      <c r="H4" s="4"/>
      <c r="I4" s="4"/>
      <c r="K4" s="40"/>
      <c r="L4" s="34"/>
      <c r="M4" s="34"/>
      <c r="N4" s="34"/>
      <c r="O4" s="34"/>
      <c r="P4" s="34" t="s">
        <v>87</v>
      </c>
      <c r="Q4" s="34"/>
      <c r="R4" s="34"/>
      <c r="S4" s="41"/>
    </row>
    <row r="5" spans="1:19" s="2" customFormat="1" ht="14" x14ac:dyDescent="0.3">
      <c r="A5" s="3" t="s">
        <v>18</v>
      </c>
      <c r="B5" s="4"/>
      <c r="C5" s="4"/>
      <c r="D5" s="4"/>
      <c r="E5" s="135" t="s">
        <v>85</v>
      </c>
      <c r="F5" s="135"/>
      <c r="G5" s="135"/>
      <c r="H5" s="135"/>
      <c r="I5" s="135"/>
      <c r="K5" s="40"/>
      <c r="L5" s="34"/>
      <c r="M5" s="34"/>
      <c r="N5" s="34"/>
      <c r="O5" s="34"/>
      <c r="P5" s="34" t="s">
        <v>88</v>
      </c>
      <c r="Q5" s="34"/>
      <c r="R5" s="34"/>
      <c r="S5" s="41"/>
    </row>
    <row r="6" spans="1:19" s="2" customFormat="1" ht="14" x14ac:dyDescent="0.3">
      <c r="A6" s="3" t="s">
        <v>2</v>
      </c>
      <c r="B6" s="4"/>
      <c r="C6" s="4"/>
      <c r="D6" s="4"/>
      <c r="E6" s="135">
        <v>42</v>
      </c>
      <c r="F6" s="135"/>
      <c r="G6" s="135"/>
      <c r="H6" s="4"/>
      <c r="I6" s="4"/>
      <c r="K6" s="40"/>
      <c r="L6" s="34"/>
      <c r="M6" s="34"/>
      <c r="N6" s="34"/>
      <c r="O6" s="34"/>
      <c r="P6" s="34" t="s">
        <v>89</v>
      </c>
      <c r="Q6" s="34"/>
      <c r="R6" s="34"/>
      <c r="S6" s="41"/>
    </row>
    <row r="7" spans="1:19" s="2" customFormat="1" ht="14" x14ac:dyDescent="0.3">
      <c r="A7" s="3" t="s">
        <v>3</v>
      </c>
      <c r="B7" s="4"/>
      <c r="C7" s="4"/>
      <c r="D7" s="4"/>
      <c r="E7" s="136">
        <v>1</v>
      </c>
      <c r="F7" s="136"/>
      <c r="G7" s="136"/>
      <c r="H7" s="4"/>
      <c r="I7" s="4"/>
      <c r="K7" s="40"/>
      <c r="L7" s="34"/>
      <c r="M7" s="34"/>
      <c r="N7" s="34"/>
      <c r="O7" s="34"/>
      <c r="P7" s="34"/>
      <c r="Q7" s="34"/>
      <c r="R7" s="34"/>
      <c r="S7" s="41"/>
    </row>
    <row r="8" spans="1:19" s="2" customFormat="1" ht="14" x14ac:dyDescent="0.3">
      <c r="A8" s="3" t="s">
        <v>4</v>
      </c>
      <c r="B8" s="4"/>
      <c r="C8" s="4"/>
      <c r="D8" s="4"/>
      <c r="E8" s="137">
        <f>E6/24*E7</f>
        <v>1.75</v>
      </c>
      <c r="F8" s="137"/>
      <c r="G8" s="137"/>
      <c r="H8" s="4"/>
      <c r="I8" s="4"/>
      <c r="K8" s="40"/>
      <c r="L8" s="34"/>
      <c r="M8" s="34"/>
      <c r="N8" s="34"/>
      <c r="O8" s="34"/>
      <c r="P8" s="34"/>
      <c r="Q8" s="34"/>
      <c r="R8" s="34"/>
      <c r="S8" s="41"/>
    </row>
    <row r="9" spans="1:19" s="2" customFormat="1" ht="14" x14ac:dyDescent="0.3">
      <c r="A9" s="3" t="s">
        <v>65</v>
      </c>
      <c r="B9" s="4"/>
      <c r="C9" s="4"/>
      <c r="D9" s="5"/>
      <c r="E9" s="131">
        <v>8000</v>
      </c>
      <c r="F9" s="131"/>
      <c r="G9" s="131"/>
      <c r="H9" s="4"/>
      <c r="I9" s="4"/>
      <c r="K9" s="40"/>
      <c r="L9" s="34"/>
      <c r="M9" s="34"/>
      <c r="N9" s="34"/>
      <c r="O9" s="34"/>
      <c r="P9" s="34"/>
      <c r="Q9" s="34"/>
      <c r="R9" s="34"/>
      <c r="S9" s="41"/>
    </row>
    <row r="10" spans="1:19" s="2" customFormat="1" ht="14" x14ac:dyDescent="0.3">
      <c r="A10" s="3" t="s">
        <v>20</v>
      </c>
      <c r="B10" s="4"/>
      <c r="C10" s="4"/>
      <c r="D10" s="5"/>
      <c r="E10" s="131">
        <f>IF(E5="Mitarbeiter",IF(E9&lt;12350,E9,12350),IF(E5="Ehegatte",IF(E9&lt;4150,E9,4150),IF(E5="Inhaber",IF(E9&lt;4150,E9,4150),IF(E5="Gesellschafter",IF(E9&lt;4150,E9,4150),IF(E5="Massgebende Entscheidbefugnis",IF(E9&lt;4150,E9,4150))))))</f>
        <v>4150</v>
      </c>
      <c r="F10" s="131"/>
      <c r="G10" s="131"/>
      <c r="H10" s="4"/>
      <c r="I10" s="4"/>
      <c r="K10" s="40"/>
      <c r="L10" s="34"/>
      <c r="M10" s="34"/>
      <c r="N10" s="34"/>
      <c r="O10" s="34"/>
      <c r="P10" s="34"/>
      <c r="Q10" s="34"/>
      <c r="R10" s="34"/>
      <c r="S10" s="41"/>
    </row>
    <row r="11" spans="1:19" s="2" customFormat="1" thickBot="1" x14ac:dyDescent="0.35">
      <c r="K11" s="40"/>
      <c r="L11" s="34" t="s">
        <v>77</v>
      </c>
      <c r="M11" s="34"/>
      <c r="N11" s="34"/>
      <c r="O11" s="34"/>
      <c r="P11" s="34"/>
      <c r="Q11" s="34"/>
      <c r="R11" s="34"/>
      <c r="S11" s="41"/>
    </row>
    <row r="12" spans="1:19" s="2" customForma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Benjamin Müller</v>
      </c>
      <c r="M12" s="34"/>
      <c r="N12" s="34"/>
      <c r="O12" s="34"/>
      <c r="P12" s="34"/>
      <c r="Q12" s="34"/>
      <c r="R12" s="34"/>
      <c r="S12" s="41"/>
    </row>
    <row r="13" spans="1:19" s="2" customFormat="1" ht="14.25" customHeight="1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90</v>
      </c>
      <c r="M13" s="34"/>
      <c r="N13" s="34"/>
      <c r="O13" s="34"/>
      <c r="P13" s="34"/>
      <c r="Q13" s="34"/>
      <c r="R13" s="34"/>
      <c r="S13" s="41"/>
    </row>
    <row r="14" spans="1:19" s="2" customFormat="1" ht="14" x14ac:dyDescent="0.3">
      <c r="A14" s="12">
        <v>43952</v>
      </c>
      <c r="B14" s="13"/>
      <c r="C14" s="14"/>
      <c r="D14" s="15"/>
      <c r="E14" s="13"/>
      <c r="F14" s="16"/>
      <c r="G14" s="17">
        <f>IF(B14="Ferien",I14,C14-B14+E14-D14)</f>
        <v>0</v>
      </c>
      <c r="H14" s="18"/>
      <c r="I14" s="17">
        <f>$E$8/5</f>
        <v>0.35</v>
      </c>
      <c r="K14" s="40"/>
      <c r="L14" s="34" t="s">
        <v>89</v>
      </c>
      <c r="M14" s="34"/>
      <c r="N14" s="34"/>
      <c r="O14" s="34"/>
      <c r="P14" s="34"/>
      <c r="Q14" s="34"/>
      <c r="R14" s="34"/>
      <c r="S14" s="41"/>
    </row>
    <row r="15" spans="1:19" s="2" customFormat="1" ht="14" x14ac:dyDescent="0.3">
      <c r="A15" s="12">
        <f>A14+1</f>
        <v>43953</v>
      </c>
      <c r="B15" s="13"/>
      <c r="C15" s="14"/>
      <c r="D15" s="15"/>
      <c r="E15" s="13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</row>
    <row r="16" spans="1:19" s="2" customFormat="1" ht="14" x14ac:dyDescent="0.3">
      <c r="A16" s="12">
        <f t="shared" ref="A16:A44" si="0">A15+1</f>
        <v>43954</v>
      </c>
      <c r="B16" s="13"/>
      <c r="C16" s="14"/>
      <c r="D16" s="15"/>
      <c r="E16" s="13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</row>
    <row r="17" spans="1:19" s="2" customFormat="1" ht="14" x14ac:dyDescent="0.3">
      <c r="A17" s="12">
        <f>A16+1</f>
        <v>43955</v>
      </c>
      <c r="B17" s="13">
        <v>0.27083333333333331</v>
      </c>
      <c r="C17" s="14">
        <v>0.5</v>
      </c>
      <c r="D17" s="15"/>
      <c r="E17" s="13"/>
      <c r="F17" s="19"/>
      <c r="G17" s="17">
        <f t="shared" ref="G17:G42" si="1">IF(B17="Ferien",I17,C17-B17+E17-D17)</f>
        <v>0.22916666666666669</v>
      </c>
      <c r="H17" s="20"/>
      <c r="I17" s="17">
        <f t="shared" ref="I17:I42" si="2">$E$8/5</f>
        <v>0.35</v>
      </c>
      <c r="K17" s="40"/>
      <c r="L17" s="47" t="s">
        <v>33</v>
      </c>
      <c r="M17" s="48"/>
      <c r="N17" s="49" t="s">
        <v>66</v>
      </c>
      <c r="O17" s="34"/>
      <c r="P17" s="34" t="s">
        <v>67</v>
      </c>
      <c r="Q17" s="106">
        <v>43972</v>
      </c>
      <c r="R17" s="34"/>
      <c r="S17" s="41"/>
    </row>
    <row r="18" spans="1:19" s="2" customFormat="1" ht="14" x14ac:dyDescent="0.3">
      <c r="A18" s="12">
        <f t="shared" si="0"/>
        <v>43956</v>
      </c>
      <c r="B18" s="13">
        <v>0.27083333333333331</v>
      </c>
      <c r="C18" s="14">
        <v>0.5</v>
      </c>
      <c r="D18" s="120">
        <v>0.55208333333333337</v>
      </c>
      <c r="E18" s="118">
        <v>0.66666666666666663</v>
      </c>
      <c r="F18" s="19"/>
      <c r="G18" s="17">
        <f t="shared" si="1"/>
        <v>0.34374999999999989</v>
      </c>
      <c r="H18" s="20"/>
      <c r="I18" s="17">
        <f t="shared" si="2"/>
        <v>0.35</v>
      </c>
      <c r="K18" s="40"/>
      <c r="L18" s="34"/>
      <c r="M18" s="34"/>
      <c r="N18" s="34"/>
      <c r="O18" s="34"/>
      <c r="P18" s="34"/>
      <c r="Q18" s="34"/>
      <c r="R18" s="34"/>
      <c r="S18" s="41"/>
    </row>
    <row r="19" spans="1:19" s="2" customFormat="1" ht="14" x14ac:dyDescent="0.3">
      <c r="A19" s="12">
        <f t="shared" si="0"/>
        <v>43957</v>
      </c>
      <c r="B19" s="13">
        <v>0.27083333333333331</v>
      </c>
      <c r="C19" s="14">
        <v>0.5</v>
      </c>
      <c r="D19" s="120"/>
      <c r="E19" s="118"/>
      <c r="F19" s="19"/>
      <c r="G19" s="17">
        <f t="shared" si="1"/>
        <v>0.22916666666666669</v>
      </c>
      <c r="H19" s="20"/>
      <c r="I19" s="17">
        <f t="shared" si="2"/>
        <v>0.35</v>
      </c>
      <c r="K19" s="40"/>
      <c r="L19" s="34"/>
      <c r="M19" s="34"/>
      <c r="N19" s="34"/>
      <c r="O19" s="34"/>
      <c r="P19" s="34"/>
      <c r="Q19" s="34"/>
      <c r="R19" s="34"/>
      <c r="S19" s="41"/>
    </row>
    <row r="20" spans="1:19" s="2" customFormat="1" ht="14" x14ac:dyDescent="0.3">
      <c r="A20" s="12">
        <f t="shared" si="0"/>
        <v>43958</v>
      </c>
      <c r="B20" s="13">
        <v>0.27083333333333331</v>
      </c>
      <c r="C20" s="14">
        <v>0.5</v>
      </c>
      <c r="D20" s="120">
        <v>0.5625</v>
      </c>
      <c r="E20" s="118">
        <v>0.70833333333333337</v>
      </c>
      <c r="F20" s="19"/>
      <c r="G20" s="17">
        <f t="shared" si="1"/>
        <v>0.375</v>
      </c>
      <c r="H20" s="20"/>
      <c r="I20" s="17">
        <f t="shared" si="2"/>
        <v>0.35</v>
      </c>
      <c r="K20" s="40"/>
      <c r="L20" s="34" t="s">
        <v>34</v>
      </c>
      <c r="M20" s="34"/>
      <c r="O20" s="59" t="s">
        <v>22</v>
      </c>
      <c r="P20" s="59" t="s">
        <v>35</v>
      </c>
      <c r="Q20" s="59"/>
      <c r="R20" s="59" t="s">
        <v>36</v>
      </c>
      <c r="S20" s="41"/>
    </row>
    <row r="21" spans="1:19" s="2" customFormat="1" ht="14" x14ac:dyDescent="0.3">
      <c r="A21" s="12">
        <f t="shared" si="0"/>
        <v>43959</v>
      </c>
      <c r="B21" s="13">
        <v>0.27083333333333331</v>
      </c>
      <c r="C21" s="14">
        <v>0.5</v>
      </c>
      <c r="D21" s="15"/>
      <c r="E21" s="13"/>
      <c r="F21" s="19"/>
      <c r="G21" s="17">
        <f t="shared" si="1"/>
        <v>0.22916666666666669</v>
      </c>
      <c r="H21" s="20"/>
      <c r="I21" s="17">
        <f t="shared" si="2"/>
        <v>0.35</v>
      </c>
      <c r="K21" s="40"/>
      <c r="L21" s="35"/>
      <c r="M21" s="35"/>
      <c r="N21" s="60"/>
      <c r="O21" s="60"/>
      <c r="P21" s="60"/>
      <c r="Q21" s="60"/>
      <c r="R21" s="60"/>
      <c r="S21" s="42"/>
    </row>
    <row r="22" spans="1:19" s="2" customFormat="1" ht="14" x14ac:dyDescent="0.3">
      <c r="A22" s="12">
        <f t="shared" si="0"/>
        <v>43960</v>
      </c>
      <c r="B22" s="13"/>
      <c r="C22" s="14"/>
      <c r="D22" s="15"/>
      <c r="E22" s="13"/>
      <c r="F22" s="19"/>
      <c r="G22" s="17"/>
      <c r="H22" s="20"/>
      <c r="I22" s="17"/>
      <c r="K22" s="40"/>
      <c r="L22" s="33" t="s">
        <v>37</v>
      </c>
      <c r="M22" s="33"/>
      <c r="N22" s="69"/>
      <c r="O22" s="69">
        <f>ROUND((R22/P22)*2,1)/2</f>
        <v>8000</v>
      </c>
      <c r="P22" s="104">
        <f>E7</f>
        <v>1</v>
      </c>
      <c r="Q22" s="69"/>
      <c r="R22" s="69">
        <f>E9</f>
        <v>8000</v>
      </c>
      <c r="S22" s="42"/>
    </row>
    <row r="23" spans="1:19" s="2" customFormat="1" ht="14" x14ac:dyDescent="0.3">
      <c r="A23" s="12">
        <f t="shared" si="0"/>
        <v>43961</v>
      </c>
      <c r="B23" s="13"/>
      <c r="C23" s="14"/>
      <c r="D23" s="15"/>
      <c r="E23" s="13"/>
      <c r="F23" s="19"/>
      <c r="G23" s="17"/>
      <c r="H23" s="20"/>
      <c r="I23" s="17"/>
      <c r="K23" s="40"/>
      <c r="L23" s="36" t="s">
        <v>38</v>
      </c>
      <c r="M23" s="36"/>
      <c r="N23" s="70"/>
      <c r="O23" s="70"/>
      <c r="P23" s="70"/>
      <c r="Q23" s="70"/>
      <c r="R23" s="70">
        <f>R22</f>
        <v>8000</v>
      </c>
      <c r="S23" s="42"/>
    </row>
    <row r="24" spans="1:19" s="2" customFormat="1" ht="14" x14ac:dyDescent="0.3">
      <c r="A24" s="12">
        <f t="shared" si="0"/>
        <v>43962</v>
      </c>
      <c r="B24" s="13">
        <v>0.27083333333333331</v>
      </c>
      <c r="C24" s="14">
        <v>0.5</v>
      </c>
      <c r="D24" s="15"/>
      <c r="E24" s="13"/>
      <c r="F24" s="19"/>
      <c r="G24" s="17">
        <f t="shared" si="1"/>
        <v>0.22916666666666669</v>
      </c>
      <c r="H24" s="20"/>
      <c r="I24" s="17">
        <f t="shared" si="2"/>
        <v>0.35</v>
      </c>
      <c r="K24" s="40"/>
      <c r="L24" s="35" t="s">
        <v>75</v>
      </c>
      <c r="M24" s="35"/>
      <c r="N24" s="60"/>
      <c r="O24" s="60">
        <v>2</v>
      </c>
      <c r="P24" s="60">
        <v>230</v>
      </c>
      <c r="Q24" s="60"/>
      <c r="R24" s="60">
        <f>O24*P24</f>
        <v>460</v>
      </c>
      <c r="S24" s="42"/>
    </row>
    <row r="25" spans="1:19" s="2" customFormat="1" ht="14" x14ac:dyDescent="0.3">
      <c r="A25" s="12">
        <f t="shared" si="0"/>
        <v>43963</v>
      </c>
      <c r="B25" s="13">
        <v>0.27083333333333331</v>
      </c>
      <c r="C25" s="14">
        <v>0.5</v>
      </c>
      <c r="D25" s="120">
        <v>0.55208333333333337</v>
      </c>
      <c r="E25" s="118">
        <v>0.66666666666666663</v>
      </c>
      <c r="F25" s="19"/>
      <c r="G25" s="17">
        <f t="shared" si="1"/>
        <v>0.34374999999999989</v>
      </c>
      <c r="H25" s="20"/>
      <c r="I25" s="17">
        <f t="shared" si="2"/>
        <v>0.35</v>
      </c>
      <c r="K25" s="40"/>
      <c r="L25" s="35"/>
      <c r="M25" s="35"/>
      <c r="N25" s="60"/>
      <c r="O25" s="60"/>
      <c r="P25" s="60"/>
      <c r="Q25" s="60"/>
      <c r="R25" s="60"/>
      <c r="S25" s="43"/>
    </row>
    <row r="26" spans="1:19" s="2" customFormat="1" ht="14" x14ac:dyDescent="0.3">
      <c r="A26" s="12">
        <f t="shared" si="0"/>
        <v>43964</v>
      </c>
      <c r="B26" s="13">
        <v>0.27083333333333331</v>
      </c>
      <c r="C26" s="14">
        <v>0.5</v>
      </c>
      <c r="D26" s="120"/>
      <c r="E26" s="118"/>
      <c r="F26" s="19"/>
      <c r="G26" s="17">
        <f t="shared" si="1"/>
        <v>0.22916666666666669</v>
      </c>
      <c r="H26" s="20"/>
      <c r="I26" s="17">
        <f t="shared" si="2"/>
        <v>0.35</v>
      </c>
      <c r="K26" s="40"/>
      <c r="L26" s="35" t="s">
        <v>39</v>
      </c>
      <c r="M26" s="35"/>
      <c r="N26" s="60"/>
      <c r="O26" s="60">
        <f>$R$22</f>
        <v>8000</v>
      </c>
      <c r="P26" s="71">
        <v>5.2749999999999998E-2</v>
      </c>
      <c r="Q26" s="60"/>
      <c r="R26" s="60">
        <f>ROUND((O26*P26)*2,1)/2</f>
        <v>422</v>
      </c>
      <c r="S26" s="43"/>
    </row>
    <row r="27" spans="1:19" s="2" customFormat="1" ht="14" x14ac:dyDescent="0.3">
      <c r="A27" s="12">
        <f t="shared" si="0"/>
        <v>43965</v>
      </c>
      <c r="B27" s="13">
        <v>0.27083333333333331</v>
      </c>
      <c r="C27" s="14">
        <v>0.5</v>
      </c>
      <c r="D27" s="120">
        <v>0.5625</v>
      </c>
      <c r="E27" s="118">
        <v>0.70833333333333337</v>
      </c>
      <c r="F27" s="19"/>
      <c r="G27" s="17">
        <f t="shared" si="1"/>
        <v>0.375</v>
      </c>
      <c r="H27" s="20"/>
      <c r="I27" s="17">
        <f t="shared" si="2"/>
        <v>0.35</v>
      </c>
      <c r="K27" s="40"/>
      <c r="L27" s="35" t="s">
        <v>40</v>
      </c>
      <c r="M27" s="35"/>
      <c r="N27" s="60"/>
      <c r="O27" s="60">
        <f>$R$22</f>
        <v>8000</v>
      </c>
      <c r="P27" s="71">
        <v>1.0999999999999999E-2</v>
      </c>
      <c r="Q27" s="60"/>
      <c r="R27" s="60">
        <f t="shared" ref="R27:R29" si="3">ROUND((O27*P27)*2,1)/2</f>
        <v>88</v>
      </c>
      <c r="S27" s="43"/>
    </row>
    <row r="28" spans="1:19" s="2" customFormat="1" ht="14" x14ac:dyDescent="0.3">
      <c r="A28" s="12">
        <f t="shared" si="0"/>
        <v>43966</v>
      </c>
      <c r="B28" s="13">
        <v>0.27083333333333331</v>
      </c>
      <c r="C28" s="14">
        <v>0.5</v>
      </c>
      <c r="D28" s="15"/>
      <c r="E28" s="13"/>
      <c r="F28" s="19"/>
      <c r="G28" s="17">
        <f t="shared" si="1"/>
        <v>0.22916666666666669</v>
      </c>
      <c r="H28" s="20"/>
      <c r="I28" s="17">
        <f t="shared" si="2"/>
        <v>0.35</v>
      </c>
      <c r="K28" s="40"/>
      <c r="L28" s="35" t="s">
        <v>41</v>
      </c>
      <c r="M28" s="35"/>
      <c r="N28" s="60"/>
      <c r="O28" s="60">
        <v>0</v>
      </c>
      <c r="P28" s="71">
        <v>9.3500000000000007E-3</v>
      </c>
      <c r="Q28" s="60"/>
      <c r="R28" s="60">
        <f t="shared" si="3"/>
        <v>0</v>
      </c>
      <c r="S28" s="42"/>
    </row>
    <row r="29" spans="1:19" s="2" customFormat="1" ht="14" x14ac:dyDescent="0.3">
      <c r="A29" s="12">
        <f t="shared" si="0"/>
        <v>43967</v>
      </c>
      <c r="B29" s="13"/>
      <c r="C29" s="14"/>
      <c r="D29" s="15"/>
      <c r="E29" s="13"/>
      <c r="F29" s="19"/>
      <c r="G29" s="17"/>
      <c r="H29" s="20"/>
      <c r="I29" s="17"/>
      <c r="K29" s="40"/>
      <c r="L29" s="35" t="s">
        <v>42</v>
      </c>
      <c r="M29" s="35"/>
      <c r="N29" s="60"/>
      <c r="O29" s="60">
        <f t="shared" ref="O29" si="4">$R$22</f>
        <v>8000</v>
      </c>
      <c r="P29" s="71">
        <v>5.3E-3</v>
      </c>
      <c r="Q29" s="60"/>
      <c r="R29" s="60">
        <f t="shared" si="3"/>
        <v>42.4</v>
      </c>
      <c r="S29" s="42"/>
    </row>
    <row r="30" spans="1:19" s="2" customFormat="1" ht="14" x14ac:dyDescent="0.3">
      <c r="A30" s="12">
        <f t="shared" si="0"/>
        <v>43968</v>
      </c>
      <c r="B30" s="13"/>
      <c r="C30" s="14"/>
      <c r="D30" s="15"/>
      <c r="E30" s="13"/>
      <c r="F30" s="19"/>
      <c r="G30" s="17"/>
      <c r="H30" s="20"/>
      <c r="I30" s="17"/>
      <c r="K30" s="40"/>
      <c r="L30" s="33" t="s">
        <v>43</v>
      </c>
      <c r="M30" s="33"/>
      <c r="N30" s="69"/>
      <c r="O30" s="69"/>
      <c r="P30" s="69"/>
      <c r="Q30" s="69"/>
      <c r="R30" s="69">
        <v>800</v>
      </c>
      <c r="S30" s="42"/>
    </row>
    <row r="31" spans="1:19" s="2" customFormat="1" ht="14" x14ac:dyDescent="0.3">
      <c r="A31" s="12">
        <f t="shared" si="0"/>
        <v>43969</v>
      </c>
      <c r="B31" s="118">
        <v>0.30208333333333331</v>
      </c>
      <c r="C31" s="119">
        <v>0.41666666666666669</v>
      </c>
      <c r="D31" s="23"/>
      <c r="E31" s="21"/>
      <c r="F31" s="19"/>
      <c r="G31" s="17">
        <f t="shared" si="1"/>
        <v>0.11458333333333337</v>
      </c>
      <c r="H31" s="20"/>
      <c r="I31" s="17">
        <f t="shared" si="2"/>
        <v>0.35</v>
      </c>
      <c r="K31" s="40"/>
      <c r="L31" s="36" t="s">
        <v>44</v>
      </c>
      <c r="M31" s="36"/>
      <c r="N31" s="70"/>
      <c r="O31" s="70"/>
      <c r="P31" s="70"/>
      <c r="Q31" s="70"/>
      <c r="R31" s="70">
        <f>R23+R24-SUM(R26:R30)</f>
        <v>7107.6</v>
      </c>
      <c r="S31" s="42"/>
    </row>
    <row r="32" spans="1:19" s="2" customFormat="1" ht="14" x14ac:dyDescent="0.3">
      <c r="A32" s="12">
        <f t="shared" si="0"/>
        <v>43970</v>
      </c>
      <c r="B32" s="118">
        <v>0.28819444444444448</v>
      </c>
      <c r="C32" s="119">
        <v>0.5</v>
      </c>
      <c r="D32" s="23"/>
      <c r="E32" s="21"/>
      <c r="F32" s="19"/>
      <c r="G32" s="17">
        <f t="shared" si="1"/>
        <v>0.21180555555555552</v>
      </c>
      <c r="H32" s="20"/>
      <c r="I32" s="17">
        <f t="shared" si="2"/>
        <v>0.35</v>
      </c>
      <c r="K32" s="40"/>
      <c r="L32" s="36"/>
      <c r="M32" s="36"/>
      <c r="N32" s="70"/>
      <c r="O32" s="70"/>
      <c r="P32" s="70"/>
      <c r="Q32" s="70"/>
      <c r="R32" s="70"/>
      <c r="S32" s="42"/>
    </row>
    <row r="33" spans="1:19" s="2" customFormat="1" ht="14" x14ac:dyDescent="0.3">
      <c r="A33" s="12">
        <f t="shared" si="0"/>
        <v>43971</v>
      </c>
      <c r="B33" s="118">
        <v>0.32291666666666669</v>
      </c>
      <c r="C33" s="119">
        <v>0.5</v>
      </c>
      <c r="D33" s="23"/>
      <c r="E33" s="21"/>
      <c r="F33" s="19"/>
      <c r="G33" s="17">
        <f t="shared" si="1"/>
        <v>0.17708333333333331</v>
      </c>
      <c r="H33" s="20"/>
      <c r="I33" s="17">
        <f t="shared" si="2"/>
        <v>0.35</v>
      </c>
      <c r="K33" s="40"/>
      <c r="L33" s="36" t="s">
        <v>73</v>
      </c>
      <c r="M33" s="36"/>
      <c r="N33" s="70"/>
      <c r="O33" s="70"/>
      <c r="P33" s="70"/>
      <c r="Q33" s="70"/>
      <c r="R33" s="70"/>
      <c r="S33" s="42"/>
    </row>
    <row r="34" spans="1:19" s="2" customFormat="1" ht="14" x14ac:dyDescent="0.3">
      <c r="A34" s="108">
        <f t="shared" si="0"/>
        <v>43972</v>
      </c>
      <c r="B34" s="109"/>
      <c r="C34" s="110"/>
      <c r="D34" s="111"/>
      <c r="E34" s="112"/>
      <c r="F34" s="19"/>
      <c r="G34" s="113">
        <f t="shared" si="1"/>
        <v>0</v>
      </c>
      <c r="H34" s="20"/>
      <c r="I34" s="113">
        <v>0</v>
      </c>
      <c r="K34" s="40"/>
      <c r="L34" s="35" t="s">
        <v>69</v>
      </c>
      <c r="M34" s="35"/>
      <c r="O34" s="60">
        <f>R23</f>
        <v>8000</v>
      </c>
      <c r="P34" s="107">
        <v>0.37</v>
      </c>
      <c r="Q34" s="60"/>
      <c r="R34" s="60">
        <f>ROUND(P34*O34*2,1)/2*-1</f>
        <v>-2960</v>
      </c>
      <c r="S34" s="43"/>
    </row>
    <row r="35" spans="1:19" s="2" customFormat="1" ht="14" x14ac:dyDescent="0.3">
      <c r="A35" s="12">
        <f t="shared" si="0"/>
        <v>43973</v>
      </c>
      <c r="B35" s="13">
        <v>0.3263888888888889</v>
      </c>
      <c r="C35" s="14">
        <v>0.45833333333333331</v>
      </c>
      <c r="D35" s="23"/>
      <c r="E35" s="21"/>
      <c r="F35" s="19"/>
      <c r="G35" s="17">
        <f t="shared" si="1"/>
        <v>0.13194444444444442</v>
      </c>
      <c r="H35" s="20"/>
      <c r="I35" s="17">
        <f t="shared" si="2"/>
        <v>0.35</v>
      </c>
      <c r="K35" s="40"/>
      <c r="L35" s="33" t="str">
        <f>IF(E10=4150,"Entschädigung (80% von CHF 4'125)",IF(O34&gt;12350,"Entschädigung (80% von CHF 12'350)","Entschädigung (80%)"))</f>
        <v>Entschädigung (80% von CHF 4'125)</v>
      </c>
      <c r="M35" s="33"/>
      <c r="N35" s="69"/>
      <c r="O35" s="69"/>
      <c r="P35" s="69"/>
      <c r="Q35" s="69"/>
      <c r="R35" s="69">
        <f>IF(E10=4150,E10*P34*0.8,IF(E10&gt;12345,E10*P34*0.8,R34*0.8*-1))</f>
        <v>1228.4000000000001</v>
      </c>
      <c r="S35" s="42"/>
    </row>
    <row r="36" spans="1:19" s="2" customFormat="1" ht="14" x14ac:dyDescent="0.3">
      <c r="A36" s="12">
        <f t="shared" si="0"/>
        <v>43974</v>
      </c>
      <c r="B36" s="13"/>
      <c r="C36" s="14"/>
      <c r="D36" s="15"/>
      <c r="E36" s="13"/>
      <c r="F36" s="19"/>
      <c r="G36" s="17"/>
      <c r="H36" s="20"/>
      <c r="I36" s="17"/>
      <c r="K36" s="40"/>
      <c r="L36" s="33" t="s">
        <v>74</v>
      </c>
      <c r="M36" s="33"/>
      <c r="N36" s="69"/>
      <c r="O36" s="69"/>
      <c r="P36" s="69"/>
      <c r="Q36" s="69"/>
      <c r="R36" s="69">
        <f>R34+R35</f>
        <v>-1731.6</v>
      </c>
      <c r="S36" s="42"/>
    </row>
    <row r="37" spans="1:19" s="2" customFormat="1" ht="14" x14ac:dyDescent="0.3">
      <c r="A37" s="12">
        <f t="shared" si="0"/>
        <v>43975</v>
      </c>
      <c r="B37" s="13"/>
      <c r="C37" s="14"/>
      <c r="D37" s="15"/>
      <c r="E37" s="13"/>
      <c r="F37" s="19"/>
      <c r="G37" s="17"/>
      <c r="H37" s="20"/>
      <c r="I37" s="17"/>
      <c r="K37" s="40"/>
      <c r="L37" s="103" t="s">
        <v>70</v>
      </c>
      <c r="M37" s="103"/>
      <c r="N37" s="105"/>
      <c r="O37" s="105"/>
      <c r="P37" s="105"/>
      <c r="Q37" s="105"/>
      <c r="R37" s="105">
        <f>R31+R36</f>
        <v>5376</v>
      </c>
      <c r="S37" s="42"/>
    </row>
    <row r="38" spans="1:19" s="2" customFormat="1" ht="14" x14ac:dyDescent="0.3">
      <c r="A38" s="12">
        <f t="shared" si="0"/>
        <v>43976</v>
      </c>
      <c r="B38" s="13">
        <v>0.27083333333333331</v>
      </c>
      <c r="C38" s="14">
        <v>0.5</v>
      </c>
      <c r="D38" s="120">
        <v>0.55208333333333337</v>
      </c>
      <c r="E38" s="118">
        <v>0.66666666666666663</v>
      </c>
      <c r="F38" s="19"/>
      <c r="G38" s="17">
        <f t="shared" si="1"/>
        <v>0.34374999999999989</v>
      </c>
      <c r="H38" s="20"/>
      <c r="I38" s="17">
        <f t="shared" si="2"/>
        <v>0.35</v>
      </c>
      <c r="K38" s="40"/>
      <c r="L38" s="35" t="s">
        <v>71</v>
      </c>
      <c r="M38" s="35"/>
      <c r="N38" s="35"/>
      <c r="O38" s="35"/>
      <c r="P38" s="35"/>
      <c r="Q38" s="35"/>
      <c r="R38" s="35"/>
      <c r="S38" s="42"/>
    </row>
    <row r="39" spans="1:19" s="2" customFormat="1" ht="14" x14ac:dyDescent="0.3">
      <c r="A39" s="12">
        <f t="shared" si="0"/>
        <v>43977</v>
      </c>
      <c r="B39" s="13">
        <v>0.27083333333333331</v>
      </c>
      <c r="C39" s="14">
        <v>0.5</v>
      </c>
      <c r="D39" s="120"/>
      <c r="E39" s="118"/>
      <c r="F39" s="19"/>
      <c r="G39" s="17">
        <f t="shared" si="1"/>
        <v>0.22916666666666669</v>
      </c>
      <c r="H39" s="20"/>
      <c r="I39" s="17">
        <f t="shared" si="2"/>
        <v>0.35</v>
      </c>
      <c r="K39" s="40"/>
      <c r="L39" s="36" t="s">
        <v>68</v>
      </c>
      <c r="M39" s="35"/>
      <c r="N39" s="35"/>
      <c r="O39" s="35"/>
      <c r="P39" s="35"/>
      <c r="Q39" s="35"/>
      <c r="R39" s="35"/>
      <c r="S39" s="42"/>
    </row>
    <row r="40" spans="1:19" s="2" customFormat="1" ht="14" x14ac:dyDescent="0.3">
      <c r="A40" s="12">
        <f t="shared" si="0"/>
        <v>43978</v>
      </c>
      <c r="B40" s="13">
        <v>0.27083333333333331</v>
      </c>
      <c r="C40" s="14">
        <v>0.5</v>
      </c>
      <c r="D40" s="120">
        <v>0.5625</v>
      </c>
      <c r="E40" s="118">
        <v>0.70833333333333337</v>
      </c>
      <c r="F40" s="19"/>
      <c r="G40" s="17">
        <f t="shared" si="1"/>
        <v>0.375</v>
      </c>
      <c r="H40" s="20"/>
      <c r="I40" s="17">
        <f t="shared" si="2"/>
        <v>0.35</v>
      </c>
      <c r="K40" s="40"/>
      <c r="L40" s="35" t="s">
        <v>91</v>
      </c>
      <c r="M40" s="35"/>
      <c r="N40" s="35"/>
      <c r="O40" s="35"/>
      <c r="P40" s="35"/>
      <c r="Q40" s="35"/>
      <c r="R40" s="35"/>
      <c r="S40" s="42"/>
    </row>
    <row r="41" spans="1:19" s="2" customFormat="1" ht="14" x14ac:dyDescent="0.3">
      <c r="A41" s="12">
        <f t="shared" si="0"/>
        <v>43979</v>
      </c>
      <c r="B41" s="13">
        <v>0.27083333333333331</v>
      </c>
      <c r="C41" s="14">
        <v>0.5</v>
      </c>
      <c r="D41" s="23"/>
      <c r="E41" s="21"/>
      <c r="F41" s="19"/>
      <c r="G41" s="17">
        <f t="shared" si="1"/>
        <v>0.22916666666666669</v>
      </c>
      <c r="H41" s="20"/>
      <c r="I41" s="17">
        <f t="shared" si="2"/>
        <v>0.35</v>
      </c>
      <c r="K41" s="40"/>
      <c r="L41" s="35" t="s">
        <v>92</v>
      </c>
      <c r="M41" s="35"/>
      <c r="N41" s="35"/>
      <c r="O41" s="35"/>
      <c r="P41" s="35"/>
      <c r="Q41" s="35"/>
      <c r="R41" s="35"/>
      <c r="S41" s="42"/>
    </row>
    <row r="42" spans="1:19" s="2" customFormat="1" ht="14" x14ac:dyDescent="0.3">
      <c r="A42" s="12">
        <f t="shared" si="0"/>
        <v>43980</v>
      </c>
      <c r="B42" s="13">
        <v>0.27083333333333331</v>
      </c>
      <c r="C42" s="14">
        <v>0.5</v>
      </c>
      <c r="D42" s="15"/>
      <c r="E42" s="13"/>
      <c r="F42" s="19"/>
      <c r="G42" s="17">
        <f t="shared" si="1"/>
        <v>0.22916666666666669</v>
      </c>
      <c r="H42" s="20"/>
      <c r="I42" s="17">
        <f t="shared" si="2"/>
        <v>0.35</v>
      </c>
      <c r="K42" s="40"/>
      <c r="L42" s="35"/>
      <c r="M42" s="35"/>
      <c r="N42" s="35"/>
      <c r="O42" s="35"/>
      <c r="P42" s="35"/>
      <c r="Q42" s="35"/>
      <c r="R42" s="35"/>
      <c r="S42" s="42"/>
    </row>
    <row r="43" spans="1:19" s="2" customFormat="1" ht="14" x14ac:dyDescent="0.3">
      <c r="A43" s="12">
        <f t="shared" si="0"/>
        <v>43981</v>
      </c>
      <c r="B43" s="13"/>
      <c r="C43" s="14"/>
      <c r="D43" s="15"/>
      <c r="E43" s="13"/>
      <c r="F43" s="19"/>
      <c r="G43" s="17"/>
      <c r="H43" s="20"/>
      <c r="I43" s="17"/>
      <c r="K43" s="40"/>
      <c r="M43" s="35"/>
      <c r="N43" s="35"/>
      <c r="O43" s="35"/>
      <c r="P43" s="35"/>
      <c r="Q43" s="35"/>
      <c r="R43" s="35"/>
      <c r="S43" s="42"/>
    </row>
    <row r="44" spans="1:19" s="2" customFormat="1" thickBot="1" x14ac:dyDescent="0.35">
      <c r="A44" s="12">
        <f t="shared" si="0"/>
        <v>43982</v>
      </c>
      <c r="B44" s="21"/>
      <c r="C44" s="21"/>
      <c r="D44" s="23"/>
      <c r="E44" s="21"/>
      <c r="F44" s="19"/>
      <c r="G44" s="24"/>
      <c r="H44" s="20"/>
      <c r="I44" s="17"/>
      <c r="K44" s="40"/>
      <c r="L44" s="36" t="s">
        <v>45</v>
      </c>
      <c r="M44" s="35"/>
      <c r="N44" s="35"/>
      <c r="O44" s="35"/>
      <c r="P44" s="35"/>
      <c r="Q44" s="35"/>
      <c r="R44" s="35"/>
      <c r="S44" s="42"/>
    </row>
    <row r="45" spans="1:19" s="2" customFormat="1" ht="14" x14ac:dyDescent="0.3">
      <c r="K45" s="40"/>
      <c r="L45" s="35" t="s">
        <v>46</v>
      </c>
      <c r="M45" s="35"/>
      <c r="N45" s="35"/>
      <c r="O45" s="35"/>
      <c r="P45" s="35"/>
      <c r="Q45" s="35"/>
      <c r="R45" s="35"/>
      <c r="S45" s="42"/>
    </row>
    <row r="46" spans="1:19" s="2" customFormat="1" ht="14" x14ac:dyDescent="0.3">
      <c r="A46" s="2" t="s">
        <v>13</v>
      </c>
      <c r="C46" s="25">
        <f>SUM(I14:I44)*24</f>
        <v>167.99999999999994</v>
      </c>
      <c r="E46" s="2" t="s">
        <v>15</v>
      </c>
      <c r="G46" s="25"/>
      <c r="I46" s="2">
        <v>0</v>
      </c>
      <c r="K46" s="40"/>
      <c r="L46" s="35" t="s">
        <v>47</v>
      </c>
      <c r="M46" s="35"/>
      <c r="N46" s="35"/>
      <c r="O46" s="35"/>
      <c r="P46" s="35"/>
      <c r="Q46" s="35"/>
      <c r="R46" s="35"/>
      <c r="S46" s="42"/>
    </row>
    <row r="47" spans="1:19" s="2" customFormat="1" ht="14" x14ac:dyDescent="0.3">
      <c r="A47" s="27" t="s">
        <v>14</v>
      </c>
      <c r="B47" s="27"/>
      <c r="C47" s="28">
        <f>SUM(G14:G44)*24</f>
        <v>116.5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</row>
    <row r="48" spans="1:19" s="2" customFormat="1" thickBot="1" x14ac:dyDescent="0.35">
      <c r="A48" s="29" t="s">
        <v>12</v>
      </c>
      <c r="B48" s="29"/>
      <c r="C48" s="30">
        <f>C47-C46</f>
        <v>-51.499999999999943</v>
      </c>
      <c r="E48" s="29" t="s">
        <v>15</v>
      </c>
      <c r="F48" s="29"/>
      <c r="G48" s="30"/>
      <c r="H48" s="29"/>
      <c r="I48" s="29">
        <f>I46-I47</f>
        <v>0</v>
      </c>
      <c r="K48" s="40"/>
      <c r="L48" s="35"/>
      <c r="M48" s="35"/>
      <c r="N48" s="35"/>
      <c r="O48" s="35"/>
      <c r="P48" s="35"/>
      <c r="Q48" s="35"/>
      <c r="R48" s="35"/>
      <c r="S48" s="42"/>
    </row>
    <row r="49" spans="1:19" s="2" customFormat="1" thickTop="1" x14ac:dyDescent="0.3">
      <c r="K49" s="40"/>
      <c r="L49" s="35"/>
      <c r="M49" s="35"/>
      <c r="N49" s="35"/>
      <c r="O49" s="35"/>
      <c r="P49" s="35"/>
      <c r="Q49" s="35"/>
      <c r="R49" s="35"/>
      <c r="S49" s="42"/>
    </row>
    <row r="50" spans="1:19" s="2" customForma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/>
      <c r="M50" s="35"/>
      <c r="N50" s="35"/>
      <c r="O50" s="35"/>
      <c r="P50" s="35"/>
      <c r="Q50" s="35"/>
      <c r="R50" s="35"/>
      <c r="S50" s="42"/>
    </row>
    <row r="51" spans="1:19" s="2" customFormat="1" ht="15" thickTop="1" thickBot="1" x14ac:dyDescent="0.35">
      <c r="A51" s="26" t="s">
        <v>72</v>
      </c>
      <c r="K51" s="51"/>
      <c r="L51" s="44"/>
      <c r="M51" s="44"/>
      <c r="N51" s="44"/>
      <c r="O51" s="44"/>
      <c r="P51" s="44"/>
      <c r="Q51" s="44"/>
      <c r="R51" s="44"/>
      <c r="S51" s="45"/>
    </row>
    <row r="52" spans="1:19" s="2" customFormat="1" ht="14" x14ac:dyDescent="0.3">
      <c r="A52" s="26"/>
      <c r="L52" s="35"/>
      <c r="M52" s="35"/>
      <c r="N52" s="35"/>
      <c r="O52" s="35"/>
      <c r="P52" s="35"/>
      <c r="Q52" s="35"/>
      <c r="R52" s="35"/>
      <c r="S52" s="35"/>
    </row>
    <row r="53" spans="1:19" s="2" customFormat="1" ht="14" x14ac:dyDescent="0.3">
      <c r="L53" s="35"/>
      <c r="M53" s="35"/>
      <c r="N53" s="35"/>
      <c r="O53" s="35"/>
      <c r="P53" s="35"/>
      <c r="Q53" s="35"/>
      <c r="R53" s="35"/>
      <c r="S53" s="35"/>
    </row>
    <row r="54" spans="1:19" s="2" customFormat="1" x14ac:dyDescent="0.35">
      <c r="K54"/>
      <c r="L54" s="35"/>
      <c r="M54" s="35"/>
      <c r="N54" s="35"/>
      <c r="O54" s="35"/>
      <c r="P54" s="35"/>
      <c r="Q54" s="35"/>
      <c r="R54" s="35"/>
      <c r="S54" s="35"/>
    </row>
    <row r="55" spans="1:19" x14ac:dyDescent="0.35">
      <c r="L55" s="35"/>
      <c r="M55" s="35"/>
      <c r="N55" s="35"/>
      <c r="O55" s="35"/>
      <c r="P55" s="35"/>
      <c r="Q55" s="35"/>
      <c r="R55" s="35"/>
      <c r="S55" s="35"/>
    </row>
    <row r="56" spans="1:19" x14ac:dyDescent="0.35">
      <c r="L56" s="35"/>
      <c r="M56" s="35"/>
      <c r="N56" s="35"/>
      <c r="O56" s="35"/>
      <c r="P56" s="35"/>
      <c r="Q56" s="35"/>
      <c r="R56" s="35"/>
      <c r="S56" s="35"/>
    </row>
    <row r="57" spans="1:19" x14ac:dyDescent="0.35">
      <c r="L57" s="35"/>
      <c r="M57" s="34"/>
      <c r="N57" s="34"/>
      <c r="O57" s="34"/>
      <c r="P57" s="34"/>
      <c r="Q57" s="34"/>
      <c r="R57" s="34"/>
      <c r="S57" s="34"/>
    </row>
    <row r="58" spans="1:19" x14ac:dyDescent="0.35">
      <c r="L58" s="34"/>
      <c r="M58" s="34"/>
      <c r="N58" s="34"/>
      <c r="O58" s="34"/>
      <c r="P58" s="34"/>
      <c r="Q58" s="34"/>
      <c r="R58" s="34"/>
      <c r="S58" s="34"/>
    </row>
    <row r="59" spans="1:19" x14ac:dyDescent="0.35">
      <c r="L59" s="34"/>
      <c r="M59" s="46"/>
      <c r="N59" s="46"/>
      <c r="O59" s="46"/>
      <c r="P59" s="46"/>
      <c r="Q59" s="46"/>
      <c r="R59" s="46"/>
      <c r="S59" s="46"/>
    </row>
    <row r="60" spans="1:19" x14ac:dyDescent="0.35">
      <c r="L60" s="46"/>
      <c r="M60" s="46"/>
      <c r="N60" s="46"/>
      <c r="O60" s="46"/>
      <c r="P60" s="46"/>
      <c r="Q60" s="46"/>
      <c r="R60" s="46"/>
      <c r="S60" s="46"/>
    </row>
    <row r="61" spans="1:19" x14ac:dyDescent="0.35">
      <c r="L61" s="46"/>
    </row>
  </sheetData>
  <mergeCells count="10">
    <mergeCell ref="E9:G9"/>
    <mergeCell ref="E10:G10"/>
    <mergeCell ref="B12:C12"/>
    <mergeCell ref="D12:E12"/>
    <mergeCell ref="E3:G3"/>
    <mergeCell ref="E4:G4"/>
    <mergeCell ref="E5:I5"/>
    <mergeCell ref="E6:G6"/>
    <mergeCell ref="E7:G7"/>
    <mergeCell ref="E8:G8"/>
  </mergeCells>
  <conditionalFormatting sqref="A14:A44">
    <cfRule type="expression" dxfId="34" priority="3">
      <formula>WEEKDAY(A14,2)&gt;5</formula>
    </cfRule>
  </conditionalFormatting>
  <conditionalFormatting sqref="A41:A42">
    <cfRule type="expression" dxfId="33" priority="1">
      <formula>MONTH(A42)&gt;MONTH(A$33)</formula>
    </cfRule>
    <cfRule type="expression" dxfId="32" priority="2">
      <formula>MONTH(B42)&gt;MONTH(B$33)</formula>
    </cfRule>
  </conditionalFormatting>
  <conditionalFormatting sqref="A43:A44">
    <cfRule type="expression" dxfId="31" priority="4">
      <formula>MONTH(#REF!)&gt;MONTH(A$33)</formula>
    </cfRule>
    <cfRule type="expression" dxfId="30" priority="5">
      <formula>MONTH(#REF!)&gt;MONTH(B$33)</formula>
    </cfRule>
  </conditionalFormatting>
  <dataValidations count="2">
    <dataValidation type="whole" allowBlank="1" showInputMessage="1" showErrorMessage="1" sqref="E10:G10" xr:uid="{DDC9BFDA-7940-40A4-88D5-D6BC1A79912E}">
      <formula1>0</formula1>
      <formula2>12350</formula2>
    </dataValidation>
    <dataValidation type="list" allowBlank="1" showInputMessage="1" showErrorMessage="1" sqref="E5" xr:uid="{F77D0532-E8FE-4AC6-A771-20E21A8C40A7}">
      <formula1>"Mitarbeiter, Inhaber, Massgebende Entscheidbefugnis, Ehegatte, Gesellschafter"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5FD8-A08A-4440-AB62-EAB07AA0672C}">
  <sheetPr>
    <tabColor rgb="FF92D050"/>
  </sheetPr>
  <dimension ref="A1:S61"/>
  <sheetViews>
    <sheetView workbookViewId="0">
      <selection activeCell="E11" sqref="E11"/>
    </sheetView>
  </sheetViews>
  <sheetFormatPr baseColWidth="10" defaultRowHeight="14.5" x14ac:dyDescent="0.35"/>
  <cols>
    <col min="1" max="1" width="18.7265625" style="2" customWidth="1"/>
    <col min="2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26953125" customWidth="1"/>
    <col min="11" max="11" width="2.7265625" customWidth="1"/>
    <col min="16" max="16" width="10.26953125" customWidth="1"/>
    <col min="19" max="19" width="2.7265625" customWidth="1"/>
  </cols>
  <sheetData>
    <row r="1" spans="1:19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19" s="2" customFormat="1" ht="14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19" s="2" customFormat="1" ht="14" x14ac:dyDescent="0.3">
      <c r="A3" s="3" t="s">
        <v>0</v>
      </c>
      <c r="B3" s="4"/>
      <c r="C3" s="4"/>
      <c r="D3" s="4"/>
      <c r="E3" s="134" t="s">
        <v>93</v>
      </c>
      <c r="F3" s="134"/>
      <c r="G3" s="134"/>
      <c r="H3" s="4"/>
      <c r="I3" s="4"/>
      <c r="K3" s="40"/>
      <c r="L3" s="34"/>
      <c r="M3" s="34"/>
      <c r="N3" s="34"/>
      <c r="O3" s="34"/>
      <c r="P3" s="34"/>
      <c r="Q3" s="34"/>
      <c r="R3" s="34"/>
      <c r="S3" s="41"/>
    </row>
    <row r="4" spans="1:19" s="2" customFormat="1" ht="14" x14ac:dyDescent="0.3">
      <c r="A4" s="3" t="s">
        <v>1</v>
      </c>
      <c r="B4" s="4"/>
      <c r="C4" s="4"/>
      <c r="D4" s="4"/>
      <c r="E4" s="135" t="s">
        <v>94</v>
      </c>
      <c r="F4" s="135"/>
      <c r="G4" s="135"/>
      <c r="H4" s="4"/>
      <c r="I4" s="4"/>
      <c r="K4" s="40"/>
      <c r="L4" s="34"/>
      <c r="M4" s="34"/>
      <c r="N4" s="34"/>
      <c r="O4" s="34"/>
      <c r="P4" s="34" t="s">
        <v>87</v>
      </c>
      <c r="Q4" s="34"/>
      <c r="R4" s="34"/>
      <c r="S4" s="41"/>
    </row>
    <row r="5" spans="1:19" s="2" customFormat="1" ht="14" x14ac:dyDescent="0.3">
      <c r="A5" s="3" t="s">
        <v>18</v>
      </c>
      <c r="B5" s="4"/>
      <c r="C5" s="4"/>
      <c r="D5" s="4"/>
      <c r="E5" s="135" t="s">
        <v>95</v>
      </c>
      <c r="F5" s="135"/>
      <c r="G5" s="135"/>
      <c r="H5" s="135"/>
      <c r="I5" s="135"/>
      <c r="K5" s="40"/>
      <c r="L5" s="34"/>
      <c r="M5" s="34"/>
      <c r="N5" s="34"/>
      <c r="O5" s="34"/>
      <c r="P5" s="34" t="s">
        <v>88</v>
      </c>
      <c r="Q5" s="34"/>
      <c r="R5" s="34"/>
      <c r="S5" s="41"/>
    </row>
    <row r="6" spans="1:19" s="2" customFormat="1" ht="14" x14ac:dyDescent="0.3">
      <c r="A6" s="3" t="s">
        <v>2</v>
      </c>
      <c r="B6" s="4"/>
      <c r="C6" s="4"/>
      <c r="D6" s="4"/>
      <c r="E6" s="135">
        <v>42</v>
      </c>
      <c r="F6" s="135"/>
      <c r="G6" s="135"/>
      <c r="H6" s="4"/>
      <c r="I6" s="4"/>
      <c r="K6" s="40"/>
      <c r="L6" s="34"/>
      <c r="M6" s="34"/>
      <c r="N6" s="34"/>
      <c r="O6" s="34"/>
      <c r="P6" s="34" t="s">
        <v>89</v>
      </c>
      <c r="Q6" s="34"/>
      <c r="R6" s="34"/>
      <c r="S6" s="41"/>
    </row>
    <row r="7" spans="1:19" s="2" customFormat="1" ht="14" x14ac:dyDescent="0.3">
      <c r="A7" s="3" t="s">
        <v>3</v>
      </c>
      <c r="B7" s="4"/>
      <c r="C7" s="4"/>
      <c r="D7" s="4"/>
      <c r="E7" s="136">
        <v>0.5</v>
      </c>
      <c r="F7" s="136"/>
      <c r="G7" s="136"/>
      <c r="H7" s="4"/>
      <c r="I7" s="4"/>
      <c r="K7" s="40"/>
      <c r="L7" s="34"/>
      <c r="M7" s="34"/>
      <c r="N7" s="34"/>
      <c r="O7" s="34"/>
      <c r="P7" s="34"/>
      <c r="Q7" s="34"/>
      <c r="R7" s="34"/>
      <c r="S7" s="41"/>
    </row>
    <row r="8" spans="1:19" s="2" customFormat="1" ht="14" x14ac:dyDescent="0.3">
      <c r="A8" s="3" t="s">
        <v>4</v>
      </c>
      <c r="B8" s="4"/>
      <c r="C8" s="4"/>
      <c r="D8" s="4"/>
      <c r="E8" s="137">
        <f>E6/24*E7</f>
        <v>0.875</v>
      </c>
      <c r="F8" s="137"/>
      <c r="G8" s="137"/>
      <c r="H8" s="4"/>
      <c r="I8" s="4"/>
      <c r="K8" s="40"/>
      <c r="L8" s="34"/>
      <c r="M8" s="34"/>
      <c r="N8" s="34"/>
      <c r="O8" s="34"/>
      <c r="P8" s="34"/>
      <c r="Q8" s="34"/>
      <c r="R8" s="34"/>
      <c r="S8" s="41"/>
    </row>
    <row r="9" spans="1:19" s="2" customFormat="1" ht="14" x14ac:dyDescent="0.3">
      <c r="A9" s="3" t="s">
        <v>65</v>
      </c>
      <c r="B9" s="4"/>
      <c r="C9" s="4"/>
      <c r="D9" s="5"/>
      <c r="E9" s="131">
        <v>3000</v>
      </c>
      <c r="F9" s="131"/>
      <c r="G9" s="131"/>
      <c r="H9" s="4"/>
      <c r="I9" s="4"/>
      <c r="K9" s="40"/>
      <c r="L9" s="34"/>
      <c r="M9" s="34"/>
      <c r="N9" s="34"/>
      <c r="O9" s="34"/>
      <c r="P9" s="34"/>
      <c r="Q9" s="34"/>
      <c r="R9" s="34"/>
      <c r="S9" s="41"/>
    </row>
    <row r="10" spans="1:19" s="2" customFormat="1" ht="14" x14ac:dyDescent="0.3">
      <c r="A10" s="3" t="s">
        <v>20</v>
      </c>
      <c r="B10" s="4"/>
      <c r="C10" s="4"/>
      <c r="D10" s="5"/>
      <c r="E10" s="131">
        <f>IF(E5="Mitarbeiter",IF(E9&lt;12350,E9,12350),IF(E5="Ehegatte",IF(E9&lt;4150,E9,4150),IF(E5="Inhaber",IF(E9&lt;4150,E9,4150),IF(E5="Gesellschafter",IF(E9&lt;4150,E9,4150),IF(E5="Massgebende Entscheidbefugnis",IF(E9&lt;4150,E9))))))</f>
        <v>3000</v>
      </c>
      <c r="F10" s="131"/>
      <c r="G10" s="131"/>
      <c r="H10" s="4"/>
      <c r="I10" s="4"/>
      <c r="K10" s="40"/>
      <c r="L10" s="34"/>
      <c r="M10" s="34"/>
      <c r="N10" s="34"/>
      <c r="O10" s="34"/>
      <c r="P10" s="34"/>
      <c r="Q10" s="34"/>
      <c r="R10" s="34"/>
      <c r="S10" s="41"/>
    </row>
    <row r="11" spans="1:19" s="2" customFormat="1" thickBot="1" x14ac:dyDescent="0.35">
      <c r="K11" s="40"/>
      <c r="L11" s="34" t="s">
        <v>76</v>
      </c>
      <c r="M11" s="34"/>
      <c r="N11" s="34"/>
      <c r="O11" s="34"/>
      <c r="P11" s="34"/>
      <c r="Q11" s="34"/>
      <c r="R11" s="34"/>
      <c r="S11" s="41"/>
    </row>
    <row r="12" spans="1:19" s="2" customForma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Petra Müller</v>
      </c>
      <c r="M12" s="34"/>
      <c r="N12" s="34"/>
      <c r="O12" s="34"/>
      <c r="P12" s="34"/>
      <c r="Q12" s="34"/>
      <c r="R12" s="34"/>
      <c r="S12" s="41"/>
    </row>
    <row r="13" spans="1:19" s="2" customFormat="1" ht="14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90</v>
      </c>
      <c r="M13" s="34"/>
      <c r="N13" s="34"/>
      <c r="O13" s="34"/>
      <c r="P13" s="34"/>
      <c r="Q13" s="34"/>
      <c r="R13" s="34"/>
      <c r="S13" s="41"/>
    </row>
    <row r="14" spans="1:19" s="2" customFormat="1" ht="14" x14ac:dyDescent="0.3">
      <c r="A14" s="12">
        <v>43952</v>
      </c>
      <c r="B14" s="13">
        <v>0.375</v>
      </c>
      <c r="C14" s="14">
        <v>0.5</v>
      </c>
      <c r="D14" s="15"/>
      <c r="E14" s="13"/>
      <c r="F14" s="16"/>
      <c r="G14" s="17">
        <f>IF(B14="Ferien",I14,C14-B14+E14-D14)</f>
        <v>0.125</v>
      </c>
      <c r="H14" s="18"/>
      <c r="I14" s="17">
        <f>$E$8/5</f>
        <v>0.17499999999999999</v>
      </c>
      <c r="K14" s="40"/>
      <c r="L14" s="34" t="s">
        <v>89</v>
      </c>
      <c r="M14" s="34"/>
      <c r="N14" s="34"/>
      <c r="O14" s="34"/>
      <c r="P14" s="34"/>
      <c r="Q14" s="34"/>
      <c r="R14" s="34"/>
      <c r="S14" s="41"/>
    </row>
    <row r="15" spans="1:19" s="2" customFormat="1" ht="14" x14ac:dyDescent="0.3">
      <c r="A15" s="12">
        <f>A14+1</f>
        <v>43953</v>
      </c>
      <c r="B15" s="13"/>
      <c r="C15" s="14"/>
      <c r="D15" s="15"/>
      <c r="E15" s="13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</row>
    <row r="16" spans="1:19" s="2" customFormat="1" ht="14" x14ac:dyDescent="0.3">
      <c r="A16" s="12">
        <f t="shared" ref="A16:A44" si="0">A15+1</f>
        <v>43954</v>
      </c>
      <c r="B16" s="13"/>
      <c r="C16" s="14"/>
      <c r="D16" s="15"/>
      <c r="E16" s="13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</row>
    <row r="17" spans="1:19" s="2" customFormat="1" ht="14" x14ac:dyDescent="0.3">
      <c r="A17" s="12">
        <f>A16+1</f>
        <v>43955</v>
      </c>
      <c r="B17" s="13">
        <v>0.375</v>
      </c>
      <c r="C17" s="14">
        <v>0.5</v>
      </c>
      <c r="D17" s="15"/>
      <c r="E17" s="13"/>
      <c r="F17" s="19"/>
      <c r="G17" s="17">
        <f t="shared" ref="G17:G42" si="1">IF(B17="Ferien",I17,C17-B17+E17-D17)</f>
        <v>0.125</v>
      </c>
      <c r="H17" s="20"/>
      <c r="I17" s="17">
        <f t="shared" ref="I17:I42" si="2">$E$8/5</f>
        <v>0.17499999999999999</v>
      </c>
      <c r="K17" s="40"/>
      <c r="L17" s="47" t="s">
        <v>33</v>
      </c>
      <c r="M17" s="48"/>
      <c r="N17" s="49" t="s">
        <v>66</v>
      </c>
      <c r="O17" s="34"/>
      <c r="P17" s="34" t="s">
        <v>67</v>
      </c>
      <c r="Q17" s="106">
        <v>43972</v>
      </c>
      <c r="R17" s="34"/>
      <c r="S17" s="41"/>
    </row>
    <row r="18" spans="1:19" s="2" customFormat="1" ht="14" x14ac:dyDescent="0.3">
      <c r="A18" s="12">
        <f t="shared" si="0"/>
        <v>43956</v>
      </c>
      <c r="B18" s="13">
        <v>0.375</v>
      </c>
      <c r="C18" s="14">
        <v>0.5</v>
      </c>
      <c r="D18" s="15"/>
      <c r="E18" s="13"/>
      <c r="F18" s="19"/>
      <c r="G18" s="17">
        <f t="shared" si="1"/>
        <v>0.125</v>
      </c>
      <c r="H18" s="20"/>
      <c r="I18" s="17">
        <f t="shared" si="2"/>
        <v>0.17499999999999999</v>
      </c>
      <c r="K18" s="40"/>
      <c r="L18" s="34"/>
      <c r="M18" s="34"/>
      <c r="N18" s="34"/>
      <c r="O18" s="34"/>
      <c r="P18" s="34"/>
      <c r="Q18" s="34"/>
      <c r="R18" s="34"/>
      <c r="S18" s="41"/>
    </row>
    <row r="19" spans="1:19" s="2" customFormat="1" ht="14" x14ac:dyDescent="0.3">
      <c r="A19" s="12">
        <f t="shared" si="0"/>
        <v>43957</v>
      </c>
      <c r="B19" s="13">
        <v>0.375</v>
      </c>
      <c r="C19" s="14">
        <v>0.5</v>
      </c>
      <c r="D19" s="23"/>
      <c r="E19" s="21"/>
      <c r="F19" s="19"/>
      <c r="G19" s="17">
        <f t="shared" si="1"/>
        <v>0.125</v>
      </c>
      <c r="H19" s="20"/>
      <c r="I19" s="17">
        <f t="shared" si="2"/>
        <v>0.17499999999999999</v>
      </c>
      <c r="K19" s="40"/>
      <c r="L19" s="34"/>
      <c r="M19" s="34"/>
      <c r="N19" s="34"/>
      <c r="O19" s="34"/>
      <c r="P19" s="34"/>
      <c r="Q19" s="34"/>
      <c r="R19" s="34"/>
      <c r="S19" s="41"/>
    </row>
    <row r="20" spans="1:19" s="2" customFormat="1" ht="14" x14ac:dyDescent="0.3">
      <c r="A20" s="12">
        <f t="shared" si="0"/>
        <v>43958</v>
      </c>
      <c r="B20" s="13"/>
      <c r="C20" s="14"/>
      <c r="D20" s="23"/>
      <c r="E20" s="21"/>
      <c r="F20" s="19"/>
      <c r="G20" s="17">
        <f t="shared" si="1"/>
        <v>0</v>
      </c>
      <c r="H20" s="20"/>
      <c r="I20" s="17">
        <f t="shared" si="2"/>
        <v>0.17499999999999999</v>
      </c>
      <c r="K20" s="40"/>
      <c r="L20" s="34" t="s">
        <v>34</v>
      </c>
      <c r="M20" s="34"/>
      <c r="O20" s="59" t="s">
        <v>22</v>
      </c>
      <c r="P20" s="59" t="s">
        <v>35</v>
      </c>
      <c r="Q20" s="59"/>
      <c r="R20" s="59" t="s">
        <v>36</v>
      </c>
      <c r="S20" s="41"/>
    </row>
    <row r="21" spans="1:19" s="2" customFormat="1" ht="14" x14ac:dyDescent="0.3">
      <c r="A21" s="12">
        <f t="shared" si="0"/>
        <v>43959</v>
      </c>
      <c r="B21" s="13"/>
      <c r="C21" s="14"/>
      <c r="D21" s="15"/>
      <c r="E21" s="13"/>
      <c r="F21" s="19"/>
      <c r="G21" s="17">
        <f t="shared" si="1"/>
        <v>0</v>
      </c>
      <c r="H21" s="20"/>
      <c r="I21" s="17">
        <f t="shared" si="2"/>
        <v>0.17499999999999999</v>
      </c>
      <c r="K21" s="40"/>
      <c r="L21" s="35"/>
      <c r="M21" s="35"/>
      <c r="N21" s="60"/>
      <c r="O21" s="60"/>
      <c r="P21" s="60"/>
      <c r="Q21" s="60"/>
      <c r="R21" s="60"/>
      <c r="S21" s="42"/>
    </row>
    <row r="22" spans="1:19" s="2" customFormat="1" ht="14" x14ac:dyDescent="0.3">
      <c r="A22" s="12">
        <f t="shared" si="0"/>
        <v>43960</v>
      </c>
      <c r="B22" s="21"/>
      <c r="C22" s="22"/>
      <c r="D22" s="23"/>
      <c r="E22" s="21"/>
      <c r="F22" s="19"/>
      <c r="G22" s="17"/>
      <c r="H22" s="20"/>
      <c r="I22" s="17"/>
      <c r="K22" s="40"/>
      <c r="L22" s="33" t="s">
        <v>37</v>
      </c>
      <c r="M22" s="33"/>
      <c r="N22" s="69"/>
      <c r="O22" s="69">
        <f>ROUND((R22/P22)*2,1)/2</f>
        <v>6000</v>
      </c>
      <c r="P22" s="104">
        <f>E7</f>
        <v>0.5</v>
      </c>
      <c r="Q22" s="69"/>
      <c r="R22" s="69">
        <f>E9</f>
        <v>3000</v>
      </c>
      <c r="S22" s="42"/>
    </row>
    <row r="23" spans="1:19" s="2" customFormat="1" ht="14" x14ac:dyDescent="0.3">
      <c r="A23" s="12">
        <f t="shared" si="0"/>
        <v>43961</v>
      </c>
      <c r="B23" s="13"/>
      <c r="C23" s="14"/>
      <c r="D23" s="15"/>
      <c r="E23" s="13"/>
      <c r="F23" s="19"/>
      <c r="G23" s="17"/>
      <c r="H23" s="20"/>
      <c r="I23" s="17"/>
      <c r="K23" s="40"/>
      <c r="L23" s="36" t="s">
        <v>38</v>
      </c>
      <c r="M23" s="36"/>
      <c r="N23" s="70"/>
      <c r="O23" s="70"/>
      <c r="P23" s="70"/>
      <c r="Q23" s="70"/>
      <c r="R23" s="70">
        <f>R22</f>
        <v>3000</v>
      </c>
      <c r="S23" s="42"/>
    </row>
    <row r="24" spans="1:19" s="2" customFormat="1" ht="14" x14ac:dyDescent="0.3">
      <c r="A24" s="12">
        <f t="shared" si="0"/>
        <v>43962</v>
      </c>
      <c r="B24" s="13">
        <v>0.375</v>
      </c>
      <c r="C24" s="14">
        <v>0.5</v>
      </c>
      <c r="D24" s="15"/>
      <c r="E24" s="13"/>
      <c r="F24" s="19"/>
      <c r="G24" s="17">
        <f t="shared" si="1"/>
        <v>0.125</v>
      </c>
      <c r="H24" s="20"/>
      <c r="I24" s="17">
        <f t="shared" si="2"/>
        <v>0.17499999999999999</v>
      </c>
      <c r="K24" s="40"/>
      <c r="L24" s="35" t="s">
        <v>75</v>
      </c>
      <c r="M24" s="35"/>
      <c r="N24" s="60"/>
      <c r="O24" s="60">
        <v>0</v>
      </c>
      <c r="P24" s="60">
        <v>230</v>
      </c>
      <c r="Q24" s="60"/>
      <c r="R24" s="60">
        <f>O24*P24</f>
        <v>0</v>
      </c>
      <c r="S24" s="42"/>
    </row>
    <row r="25" spans="1:19" s="2" customFormat="1" ht="14" x14ac:dyDescent="0.3">
      <c r="A25" s="12">
        <f t="shared" si="0"/>
        <v>43963</v>
      </c>
      <c r="B25" s="13">
        <v>0.375</v>
      </c>
      <c r="C25" s="14">
        <v>0.5</v>
      </c>
      <c r="D25" s="15"/>
      <c r="E25" s="13"/>
      <c r="F25" s="19"/>
      <c r="G25" s="17">
        <f t="shared" si="1"/>
        <v>0.125</v>
      </c>
      <c r="H25" s="20"/>
      <c r="I25" s="17">
        <f t="shared" si="2"/>
        <v>0.17499999999999999</v>
      </c>
      <c r="K25" s="40"/>
      <c r="L25" s="35"/>
      <c r="M25" s="35"/>
      <c r="N25" s="60"/>
      <c r="O25" s="60"/>
      <c r="P25" s="60"/>
      <c r="Q25" s="60"/>
      <c r="R25" s="60"/>
      <c r="S25" s="43"/>
    </row>
    <row r="26" spans="1:19" s="2" customFormat="1" ht="14" x14ac:dyDescent="0.3">
      <c r="A26" s="12">
        <f t="shared" si="0"/>
        <v>43964</v>
      </c>
      <c r="B26" s="13">
        <v>0.375</v>
      </c>
      <c r="C26" s="14">
        <v>0.5</v>
      </c>
      <c r="D26" s="23"/>
      <c r="E26" s="21"/>
      <c r="F26" s="19"/>
      <c r="G26" s="17">
        <f t="shared" si="1"/>
        <v>0.125</v>
      </c>
      <c r="H26" s="20"/>
      <c r="I26" s="17">
        <f t="shared" si="2"/>
        <v>0.17499999999999999</v>
      </c>
      <c r="K26" s="40"/>
      <c r="L26" s="35" t="s">
        <v>39</v>
      </c>
      <c r="M26" s="35"/>
      <c r="N26" s="60"/>
      <c r="O26" s="60">
        <f>$R$22</f>
        <v>3000</v>
      </c>
      <c r="P26" s="71">
        <v>5.2749999999999998E-2</v>
      </c>
      <c r="Q26" s="60"/>
      <c r="R26" s="60">
        <f>ROUND((O26*P26)*2,1)/2</f>
        <v>158.25</v>
      </c>
      <c r="S26" s="43"/>
    </row>
    <row r="27" spans="1:19" s="2" customFormat="1" ht="14" x14ac:dyDescent="0.3">
      <c r="A27" s="12">
        <f t="shared" si="0"/>
        <v>43965</v>
      </c>
      <c r="B27" s="13"/>
      <c r="C27" s="14"/>
      <c r="D27" s="23"/>
      <c r="E27" s="21"/>
      <c r="F27" s="19"/>
      <c r="G27" s="17">
        <f t="shared" si="1"/>
        <v>0</v>
      </c>
      <c r="H27" s="20"/>
      <c r="I27" s="17">
        <f t="shared" si="2"/>
        <v>0.17499999999999999</v>
      </c>
      <c r="K27" s="40"/>
      <c r="L27" s="35" t="s">
        <v>40</v>
      </c>
      <c r="M27" s="35"/>
      <c r="N27" s="60"/>
      <c r="O27" s="60">
        <f>$R$22</f>
        <v>3000</v>
      </c>
      <c r="P27" s="71">
        <v>1.0999999999999999E-2</v>
      </c>
      <c r="Q27" s="60"/>
      <c r="R27" s="60">
        <f t="shared" ref="R27:R29" si="3">ROUND((O27*P27)*2,1)/2</f>
        <v>33</v>
      </c>
      <c r="S27" s="43"/>
    </row>
    <row r="28" spans="1:19" s="2" customFormat="1" ht="14" x14ac:dyDescent="0.3">
      <c r="A28" s="12">
        <f t="shared" si="0"/>
        <v>43966</v>
      </c>
      <c r="B28" s="13"/>
      <c r="C28" s="14"/>
      <c r="D28" s="15"/>
      <c r="E28" s="13"/>
      <c r="F28" s="19"/>
      <c r="G28" s="17">
        <f t="shared" si="1"/>
        <v>0</v>
      </c>
      <c r="H28" s="20"/>
      <c r="I28" s="17">
        <f t="shared" si="2"/>
        <v>0.17499999999999999</v>
      </c>
      <c r="K28" s="40"/>
      <c r="L28" s="35" t="s">
        <v>41</v>
      </c>
      <c r="M28" s="35"/>
      <c r="N28" s="60"/>
      <c r="O28" s="60">
        <v>0</v>
      </c>
      <c r="P28" s="71">
        <v>9.3500000000000007E-3</v>
      </c>
      <c r="Q28" s="60"/>
      <c r="R28" s="60">
        <f t="shared" si="3"/>
        <v>0</v>
      </c>
      <c r="S28" s="42"/>
    </row>
    <row r="29" spans="1:19" s="2" customFormat="1" ht="14" x14ac:dyDescent="0.3">
      <c r="A29" s="12">
        <f t="shared" si="0"/>
        <v>43967</v>
      </c>
      <c r="B29" s="21"/>
      <c r="C29" s="22"/>
      <c r="D29" s="23"/>
      <c r="E29" s="21"/>
      <c r="F29" s="19"/>
      <c r="G29" s="17"/>
      <c r="H29" s="20"/>
      <c r="I29" s="17"/>
      <c r="K29" s="40"/>
      <c r="L29" s="35" t="s">
        <v>42</v>
      </c>
      <c r="M29" s="35"/>
      <c r="N29" s="60"/>
      <c r="O29" s="60">
        <f t="shared" ref="O29" si="4">$R$22</f>
        <v>3000</v>
      </c>
      <c r="P29" s="71">
        <v>5.3E-3</v>
      </c>
      <c r="Q29" s="60"/>
      <c r="R29" s="60">
        <f t="shared" si="3"/>
        <v>15.9</v>
      </c>
      <c r="S29" s="42"/>
    </row>
    <row r="30" spans="1:19" s="2" customFormat="1" ht="14" x14ac:dyDescent="0.3">
      <c r="A30" s="12">
        <f t="shared" si="0"/>
        <v>43968</v>
      </c>
      <c r="B30" s="13"/>
      <c r="C30" s="14"/>
      <c r="D30" s="15"/>
      <c r="E30" s="13"/>
      <c r="F30" s="19"/>
      <c r="G30" s="17"/>
      <c r="H30" s="20"/>
      <c r="I30" s="17"/>
      <c r="K30" s="40"/>
      <c r="L30" s="33" t="s">
        <v>43</v>
      </c>
      <c r="M30" s="33"/>
      <c r="N30" s="69"/>
      <c r="O30" s="69"/>
      <c r="P30" s="69"/>
      <c r="Q30" s="69"/>
      <c r="R30" s="69">
        <v>350</v>
      </c>
      <c r="S30" s="42"/>
    </row>
    <row r="31" spans="1:19" s="2" customFormat="1" ht="14" x14ac:dyDescent="0.3">
      <c r="A31" s="12">
        <f t="shared" si="0"/>
        <v>43969</v>
      </c>
      <c r="B31" s="13">
        <v>0.375</v>
      </c>
      <c r="C31" s="14">
        <v>0.5</v>
      </c>
      <c r="D31" s="23"/>
      <c r="E31" s="21"/>
      <c r="F31" s="19"/>
      <c r="G31" s="17">
        <f t="shared" si="1"/>
        <v>0.125</v>
      </c>
      <c r="H31" s="20"/>
      <c r="I31" s="17">
        <f t="shared" si="2"/>
        <v>0.17499999999999999</v>
      </c>
      <c r="K31" s="40"/>
      <c r="L31" s="36" t="s">
        <v>44</v>
      </c>
      <c r="M31" s="36"/>
      <c r="N31" s="70"/>
      <c r="O31" s="70"/>
      <c r="P31" s="70"/>
      <c r="Q31" s="70"/>
      <c r="R31" s="70">
        <f>R23+R24-SUM(R26:R30)</f>
        <v>2442.85</v>
      </c>
      <c r="S31" s="42"/>
    </row>
    <row r="32" spans="1:19" s="2" customFormat="1" ht="14" x14ac:dyDescent="0.3">
      <c r="A32" s="12">
        <f t="shared" si="0"/>
        <v>43970</v>
      </c>
      <c r="B32" s="13">
        <v>0.375</v>
      </c>
      <c r="C32" s="14">
        <v>0.5</v>
      </c>
      <c r="D32" s="23"/>
      <c r="E32" s="21"/>
      <c r="F32" s="19"/>
      <c r="G32" s="17">
        <f t="shared" si="1"/>
        <v>0.125</v>
      </c>
      <c r="H32" s="20"/>
      <c r="I32" s="17">
        <f t="shared" si="2"/>
        <v>0.17499999999999999</v>
      </c>
      <c r="K32" s="40"/>
      <c r="L32" s="36"/>
      <c r="M32" s="36"/>
      <c r="N32" s="70"/>
      <c r="O32" s="70"/>
      <c r="P32" s="70"/>
      <c r="Q32" s="70"/>
      <c r="R32" s="70"/>
      <c r="S32" s="42"/>
    </row>
    <row r="33" spans="1:19" s="2" customFormat="1" ht="14" x14ac:dyDescent="0.3">
      <c r="A33" s="12">
        <f t="shared" si="0"/>
        <v>43971</v>
      </c>
      <c r="B33" s="13"/>
      <c r="C33" s="14"/>
      <c r="D33" s="23"/>
      <c r="E33" s="21"/>
      <c r="F33" s="19"/>
      <c r="G33" s="17">
        <f t="shared" si="1"/>
        <v>0</v>
      </c>
      <c r="H33" s="20"/>
      <c r="I33" s="17">
        <f t="shared" si="2"/>
        <v>0.17499999999999999</v>
      </c>
      <c r="K33" s="40"/>
      <c r="L33" s="36" t="s">
        <v>73</v>
      </c>
      <c r="M33" s="36"/>
      <c r="N33" s="70"/>
      <c r="O33" s="70"/>
      <c r="P33" s="70"/>
      <c r="Q33" s="70"/>
      <c r="R33" s="70"/>
      <c r="S33" s="42"/>
    </row>
    <row r="34" spans="1:19" s="2" customFormat="1" ht="14" x14ac:dyDescent="0.3">
      <c r="A34" s="108">
        <f t="shared" si="0"/>
        <v>43972</v>
      </c>
      <c r="B34" s="109"/>
      <c r="C34" s="110"/>
      <c r="D34" s="111"/>
      <c r="E34" s="112"/>
      <c r="F34" s="19"/>
      <c r="G34" s="113">
        <f t="shared" si="1"/>
        <v>0</v>
      </c>
      <c r="H34" s="20"/>
      <c r="I34" s="113">
        <v>0</v>
      </c>
      <c r="K34" s="40"/>
      <c r="L34" s="35" t="s">
        <v>69</v>
      </c>
      <c r="M34" s="35"/>
      <c r="O34" s="60">
        <f>R23</f>
        <v>3000</v>
      </c>
      <c r="P34" s="107">
        <v>0.46</v>
      </c>
      <c r="Q34" s="60"/>
      <c r="R34" s="60">
        <f>ROUND(P34*O34*2,1)/2*-1</f>
        <v>-1380</v>
      </c>
      <c r="S34" s="43"/>
    </row>
    <row r="35" spans="1:19" s="2" customFormat="1" ht="14" x14ac:dyDescent="0.3">
      <c r="A35" s="12">
        <f t="shared" si="0"/>
        <v>43973</v>
      </c>
      <c r="B35" s="13"/>
      <c r="C35" s="14"/>
      <c r="D35" s="23"/>
      <c r="E35" s="21"/>
      <c r="F35" s="19"/>
      <c r="G35" s="17">
        <f t="shared" si="1"/>
        <v>0</v>
      </c>
      <c r="H35" s="20"/>
      <c r="I35" s="17">
        <f t="shared" si="2"/>
        <v>0.17499999999999999</v>
      </c>
      <c r="K35" s="40"/>
      <c r="L35" s="33" t="str">
        <f>IF(E10=4150,"Entschädigung (80% von CHF 4'125)",IF(O34&gt;12350,"Entschädigung (80% von CHF 12'350)","Entschädigung (80%)"))</f>
        <v>Entschädigung (80%)</v>
      </c>
      <c r="M35" s="33"/>
      <c r="N35" s="69"/>
      <c r="O35" s="69"/>
      <c r="P35" s="69"/>
      <c r="Q35" s="69"/>
      <c r="R35" s="69">
        <f>IF(E10=4150,E10*P34*0.8,IF(E10&gt;12345,E10*P34*0.8,R34*0.8*-1))</f>
        <v>1104</v>
      </c>
      <c r="S35" s="42"/>
    </row>
    <row r="36" spans="1:19" s="2" customFormat="1" ht="14" x14ac:dyDescent="0.3">
      <c r="A36" s="12">
        <f t="shared" si="0"/>
        <v>43974</v>
      </c>
      <c r="B36" s="13"/>
      <c r="C36" s="14"/>
      <c r="D36" s="23"/>
      <c r="E36" s="21"/>
      <c r="F36" s="19"/>
      <c r="G36" s="17"/>
      <c r="H36" s="20"/>
      <c r="I36" s="17"/>
      <c r="K36" s="40"/>
      <c r="L36" s="33" t="s">
        <v>74</v>
      </c>
      <c r="M36" s="33"/>
      <c r="N36" s="69"/>
      <c r="O36" s="69"/>
      <c r="P36" s="69"/>
      <c r="Q36" s="69"/>
      <c r="R36" s="69">
        <f>R34+R35</f>
        <v>-276</v>
      </c>
      <c r="S36" s="42"/>
    </row>
    <row r="37" spans="1:19" s="2" customFormat="1" ht="14" x14ac:dyDescent="0.3">
      <c r="A37" s="12">
        <f t="shared" si="0"/>
        <v>43975</v>
      </c>
      <c r="B37" s="13"/>
      <c r="C37" s="14"/>
      <c r="D37" s="15"/>
      <c r="E37" s="13"/>
      <c r="F37" s="19"/>
      <c r="G37" s="17"/>
      <c r="H37" s="20"/>
      <c r="I37" s="17"/>
      <c r="K37" s="40"/>
      <c r="L37" s="103" t="s">
        <v>70</v>
      </c>
      <c r="M37" s="103"/>
      <c r="N37" s="105"/>
      <c r="O37" s="105"/>
      <c r="P37" s="105"/>
      <c r="Q37" s="105"/>
      <c r="R37" s="105">
        <f>R31+R36</f>
        <v>2166.85</v>
      </c>
      <c r="S37" s="42"/>
    </row>
    <row r="38" spans="1:19" s="2" customFormat="1" ht="14" x14ac:dyDescent="0.3">
      <c r="A38" s="12">
        <f t="shared" si="0"/>
        <v>43976</v>
      </c>
      <c r="B38" s="13">
        <v>0.375</v>
      </c>
      <c r="C38" s="14">
        <v>0.5</v>
      </c>
      <c r="D38" s="15"/>
      <c r="E38" s="13"/>
      <c r="F38" s="19"/>
      <c r="G38" s="17">
        <f t="shared" si="1"/>
        <v>0.125</v>
      </c>
      <c r="H38" s="20"/>
      <c r="I38" s="17">
        <f t="shared" si="2"/>
        <v>0.17499999999999999</v>
      </c>
      <c r="K38" s="40"/>
      <c r="L38" s="35" t="s">
        <v>71</v>
      </c>
      <c r="M38" s="35"/>
      <c r="N38" s="35"/>
      <c r="O38" s="35"/>
      <c r="P38" s="35"/>
      <c r="Q38" s="35"/>
      <c r="R38" s="35"/>
      <c r="S38" s="42"/>
    </row>
    <row r="39" spans="1:19" s="2" customFormat="1" ht="14" x14ac:dyDescent="0.3">
      <c r="A39" s="12">
        <f t="shared" si="0"/>
        <v>43977</v>
      </c>
      <c r="B39" s="13">
        <v>0.375</v>
      </c>
      <c r="C39" s="14">
        <v>0.5</v>
      </c>
      <c r="D39" s="15"/>
      <c r="E39" s="13"/>
      <c r="F39" s="19"/>
      <c r="G39" s="17">
        <f t="shared" si="1"/>
        <v>0.125</v>
      </c>
      <c r="H39" s="20"/>
      <c r="I39" s="17">
        <f t="shared" si="2"/>
        <v>0.17499999999999999</v>
      </c>
      <c r="K39" s="40"/>
      <c r="L39" s="36" t="s">
        <v>68</v>
      </c>
      <c r="M39" s="35"/>
      <c r="N39" s="35"/>
      <c r="O39" s="35"/>
      <c r="P39" s="35"/>
      <c r="Q39" s="35"/>
      <c r="R39" s="35"/>
      <c r="S39" s="42"/>
    </row>
    <row r="40" spans="1:19" s="2" customFormat="1" ht="14" x14ac:dyDescent="0.3">
      <c r="A40" s="12">
        <f t="shared" si="0"/>
        <v>43978</v>
      </c>
      <c r="B40" s="13">
        <v>0.375</v>
      </c>
      <c r="C40" s="14">
        <v>0.5</v>
      </c>
      <c r="D40" s="23"/>
      <c r="E40" s="21"/>
      <c r="F40" s="19"/>
      <c r="G40" s="17">
        <f t="shared" si="1"/>
        <v>0.125</v>
      </c>
      <c r="H40" s="20"/>
      <c r="I40" s="17">
        <f t="shared" si="2"/>
        <v>0.17499999999999999</v>
      </c>
      <c r="K40" s="40"/>
      <c r="L40" s="35" t="s">
        <v>91</v>
      </c>
      <c r="M40" s="35"/>
      <c r="N40" s="35"/>
      <c r="O40" s="35"/>
      <c r="P40" s="35"/>
      <c r="Q40" s="35"/>
      <c r="R40" s="35"/>
      <c r="S40" s="42"/>
    </row>
    <row r="41" spans="1:19" s="2" customFormat="1" ht="14" x14ac:dyDescent="0.3">
      <c r="A41" s="12">
        <f t="shared" si="0"/>
        <v>43979</v>
      </c>
      <c r="B41" s="13"/>
      <c r="C41" s="14"/>
      <c r="D41" s="23"/>
      <c r="E41" s="21"/>
      <c r="F41" s="19"/>
      <c r="G41" s="17">
        <f t="shared" si="1"/>
        <v>0</v>
      </c>
      <c r="H41" s="20"/>
      <c r="I41" s="17">
        <f t="shared" si="2"/>
        <v>0.17499999999999999</v>
      </c>
      <c r="K41" s="40"/>
      <c r="L41" s="35" t="s">
        <v>92</v>
      </c>
      <c r="M41" s="35"/>
      <c r="N41" s="35"/>
      <c r="O41" s="35"/>
      <c r="P41" s="35"/>
      <c r="Q41" s="35"/>
      <c r="R41" s="35"/>
      <c r="S41" s="42"/>
    </row>
    <row r="42" spans="1:19" s="2" customFormat="1" ht="14" x14ac:dyDescent="0.3">
      <c r="A42" s="12">
        <f t="shared" si="0"/>
        <v>43980</v>
      </c>
      <c r="B42" s="13"/>
      <c r="C42" s="14"/>
      <c r="D42" s="15"/>
      <c r="E42" s="13"/>
      <c r="F42" s="19"/>
      <c r="G42" s="17">
        <f t="shared" si="1"/>
        <v>0</v>
      </c>
      <c r="H42" s="20"/>
      <c r="I42" s="17">
        <f t="shared" si="2"/>
        <v>0.17499999999999999</v>
      </c>
      <c r="K42" s="40"/>
      <c r="L42" s="35"/>
      <c r="M42" s="35"/>
      <c r="N42" s="35"/>
      <c r="O42" s="35"/>
      <c r="P42" s="35"/>
      <c r="Q42" s="35"/>
      <c r="R42" s="35"/>
      <c r="S42" s="42"/>
    </row>
    <row r="43" spans="1:19" s="2" customFormat="1" ht="14" x14ac:dyDescent="0.3">
      <c r="A43" s="12">
        <f t="shared" si="0"/>
        <v>43981</v>
      </c>
      <c r="B43" s="21"/>
      <c r="C43" s="22"/>
      <c r="D43" s="23"/>
      <c r="E43" s="21"/>
      <c r="F43" s="19"/>
      <c r="G43" s="17"/>
      <c r="H43" s="20"/>
      <c r="I43" s="17"/>
      <c r="K43" s="40"/>
      <c r="M43" s="35"/>
      <c r="N43" s="35"/>
      <c r="O43" s="35"/>
      <c r="P43" s="35"/>
      <c r="Q43" s="35"/>
      <c r="R43" s="35"/>
      <c r="S43" s="42"/>
    </row>
    <row r="44" spans="1:19" s="2" customFormat="1" thickBot="1" x14ac:dyDescent="0.35">
      <c r="A44" s="12">
        <f t="shared" si="0"/>
        <v>43982</v>
      </c>
      <c r="B44" s="21"/>
      <c r="C44" s="21"/>
      <c r="D44" s="23"/>
      <c r="E44" s="21"/>
      <c r="F44" s="19"/>
      <c r="G44" s="24"/>
      <c r="H44" s="20"/>
      <c r="I44" s="24"/>
      <c r="K44" s="40"/>
      <c r="L44" s="36" t="s">
        <v>45</v>
      </c>
      <c r="M44" s="35"/>
      <c r="N44" s="35"/>
      <c r="O44" s="35"/>
      <c r="P44" s="35"/>
      <c r="Q44" s="35"/>
      <c r="R44" s="35"/>
      <c r="S44" s="42"/>
    </row>
    <row r="45" spans="1:19" s="2" customFormat="1" ht="14" x14ac:dyDescent="0.3">
      <c r="K45" s="40"/>
      <c r="L45" s="35" t="s">
        <v>46</v>
      </c>
      <c r="M45" s="35"/>
      <c r="N45" s="35"/>
      <c r="O45" s="35"/>
      <c r="P45" s="35"/>
      <c r="Q45" s="35"/>
      <c r="R45" s="35"/>
      <c r="S45" s="42"/>
    </row>
    <row r="46" spans="1:19" s="2" customFormat="1" ht="14" x14ac:dyDescent="0.3">
      <c r="A46" s="2" t="s">
        <v>13</v>
      </c>
      <c r="C46" s="25">
        <f>SUM(I14:I44)*24</f>
        <v>83.999999999999972</v>
      </c>
      <c r="E46" s="2" t="s">
        <v>15</v>
      </c>
      <c r="G46" s="25"/>
      <c r="I46" s="2">
        <v>0</v>
      </c>
      <c r="K46" s="40"/>
      <c r="L46" s="35" t="s">
        <v>47</v>
      </c>
      <c r="M46" s="35"/>
      <c r="N46" s="35"/>
      <c r="O46" s="35"/>
      <c r="P46" s="35"/>
      <c r="Q46" s="35"/>
      <c r="R46" s="35"/>
      <c r="S46" s="42"/>
    </row>
    <row r="47" spans="1:19" s="2" customFormat="1" ht="14" x14ac:dyDescent="0.3">
      <c r="A47" s="27" t="s">
        <v>14</v>
      </c>
      <c r="B47" s="27"/>
      <c r="C47" s="28">
        <f>SUM(G14:G44)*24</f>
        <v>36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</row>
    <row r="48" spans="1:19" s="2" customFormat="1" thickBot="1" x14ac:dyDescent="0.35">
      <c r="A48" s="29" t="s">
        <v>12</v>
      </c>
      <c r="B48" s="29"/>
      <c r="C48" s="30">
        <f>C47-C46</f>
        <v>-47.999999999999972</v>
      </c>
      <c r="E48" s="29" t="s">
        <v>15</v>
      </c>
      <c r="F48" s="29"/>
      <c r="G48" s="30"/>
      <c r="H48" s="29"/>
      <c r="I48" s="29">
        <f>I46-I47</f>
        <v>0</v>
      </c>
      <c r="K48" s="40"/>
      <c r="L48" s="35"/>
      <c r="M48" s="35"/>
      <c r="N48" s="35"/>
      <c r="O48" s="35"/>
      <c r="P48" s="35"/>
      <c r="Q48" s="35"/>
      <c r="R48" s="35"/>
      <c r="S48" s="42"/>
    </row>
    <row r="49" spans="1:19" s="2" customFormat="1" thickTop="1" x14ac:dyDescent="0.3">
      <c r="K49" s="40"/>
      <c r="L49" s="35"/>
      <c r="M49" s="35"/>
      <c r="N49" s="35"/>
      <c r="O49" s="35"/>
      <c r="P49" s="35"/>
      <c r="Q49" s="35"/>
      <c r="R49" s="35"/>
      <c r="S49" s="42"/>
    </row>
    <row r="50" spans="1:19" s="2" customForma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/>
      <c r="M50" s="35"/>
      <c r="N50" s="35"/>
      <c r="O50" s="35"/>
      <c r="P50" s="35"/>
      <c r="Q50" s="35"/>
      <c r="R50" s="35"/>
      <c r="S50" s="42"/>
    </row>
    <row r="51" spans="1:19" s="2" customFormat="1" ht="15" thickTop="1" thickBot="1" x14ac:dyDescent="0.35">
      <c r="A51" s="26" t="s">
        <v>72</v>
      </c>
      <c r="K51" s="51"/>
      <c r="L51" s="44"/>
      <c r="M51" s="44"/>
      <c r="N51" s="44"/>
      <c r="O51" s="44"/>
      <c r="P51" s="44"/>
      <c r="Q51" s="44"/>
      <c r="R51" s="44"/>
      <c r="S51" s="45"/>
    </row>
    <row r="52" spans="1:19" s="2" customFormat="1" ht="14" x14ac:dyDescent="0.3">
      <c r="A52" s="26"/>
      <c r="L52" s="35"/>
      <c r="M52" s="35"/>
      <c r="N52" s="35"/>
      <c r="O52" s="35"/>
      <c r="P52" s="35"/>
      <c r="Q52" s="35"/>
      <c r="R52" s="35"/>
      <c r="S52" s="35"/>
    </row>
    <row r="53" spans="1:19" s="2" customFormat="1" ht="14" x14ac:dyDescent="0.3">
      <c r="L53" s="35"/>
      <c r="M53" s="35"/>
      <c r="N53" s="35"/>
      <c r="O53" s="35"/>
      <c r="P53" s="35"/>
      <c r="Q53" s="35"/>
      <c r="R53" s="35"/>
      <c r="S53" s="35"/>
    </row>
    <row r="54" spans="1:19" s="2" customFormat="1" x14ac:dyDescent="0.35">
      <c r="K54"/>
      <c r="L54" s="35"/>
      <c r="M54" s="35"/>
      <c r="N54" s="35"/>
      <c r="O54" s="35"/>
      <c r="P54" s="35"/>
      <c r="Q54" s="35"/>
      <c r="R54" s="35"/>
      <c r="S54" s="35"/>
    </row>
    <row r="55" spans="1:19" x14ac:dyDescent="0.35">
      <c r="L55" s="35"/>
      <c r="M55" s="35"/>
      <c r="N55" s="35"/>
      <c r="O55" s="35"/>
      <c r="P55" s="35"/>
      <c r="Q55" s="35"/>
      <c r="R55" s="35"/>
      <c r="S55" s="35"/>
    </row>
    <row r="56" spans="1:19" x14ac:dyDescent="0.35">
      <c r="L56" s="35"/>
      <c r="M56" s="35"/>
      <c r="N56" s="35"/>
      <c r="O56" s="35"/>
      <c r="P56" s="35"/>
      <c r="Q56" s="35"/>
      <c r="R56" s="35"/>
      <c r="S56" s="35"/>
    </row>
    <row r="57" spans="1:19" x14ac:dyDescent="0.35">
      <c r="L57" s="35"/>
      <c r="M57" s="34"/>
      <c r="N57" s="34"/>
      <c r="O57" s="34"/>
      <c r="P57" s="34"/>
      <c r="Q57" s="34"/>
      <c r="R57" s="34"/>
      <c r="S57" s="34"/>
    </row>
    <row r="58" spans="1:19" x14ac:dyDescent="0.35">
      <c r="L58" s="34"/>
      <c r="M58" s="34"/>
      <c r="N58" s="34"/>
      <c r="O58" s="34"/>
      <c r="P58" s="34"/>
      <c r="Q58" s="34"/>
      <c r="R58" s="34"/>
      <c r="S58" s="34"/>
    </row>
    <row r="59" spans="1:19" x14ac:dyDescent="0.35">
      <c r="L59" s="34"/>
      <c r="M59" s="46"/>
      <c r="N59" s="46"/>
      <c r="O59" s="46"/>
      <c r="P59" s="46"/>
      <c r="Q59" s="46"/>
      <c r="R59" s="46"/>
      <c r="S59" s="46"/>
    </row>
    <row r="60" spans="1:19" x14ac:dyDescent="0.35">
      <c r="L60" s="46"/>
      <c r="M60" s="46"/>
      <c r="N60" s="46"/>
      <c r="O60" s="46"/>
      <c r="P60" s="46"/>
      <c r="Q60" s="46"/>
      <c r="R60" s="46"/>
      <c r="S60" s="46"/>
    </row>
    <row r="61" spans="1:19" x14ac:dyDescent="0.35">
      <c r="L61" s="46"/>
    </row>
  </sheetData>
  <mergeCells count="10">
    <mergeCell ref="E9:G9"/>
    <mergeCell ref="E10:G10"/>
    <mergeCell ref="B12:C12"/>
    <mergeCell ref="D12:E12"/>
    <mergeCell ref="E3:G3"/>
    <mergeCell ref="E4:G4"/>
    <mergeCell ref="E5:I5"/>
    <mergeCell ref="E6:G6"/>
    <mergeCell ref="E7:G7"/>
    <mergeCell ref="E8:G8"/>
  </mergeCells>
  <conditionalFormatting sqref="A14:A33 A35:A44">
    <cfRule type="expression" dxfId="29" priority="5">
      <formula>WEEKDAY(A14,2)&gt;5</formula>
    </cfRule>
  </conditionalFormatting>
  <conditionalFormatting sqref="A41:A42">
    <cfRule type="expression" dxfId="28" priority="3">
      <formula>MONTH(A42)&gt;MONTH(A$33)</formula>
    </cfRule>
    <cfRule type="expression" dxfId="27" priority="4">
      <formula>MONTH(B42)&gt;MONTH(B$33)</formula>
    </cfRule>
  </conditionalFormatting>
  <conditionalFormatting sqref="A43:A44">
    <cfRule type="expression" dxfId="26" priority="6">
      <formula>MONTH(#REF!)&gt;MONTH(A$33)</formula>
    </cfRule>
    <cfRule type="expression" dxfId="25" priority="7">
      <formula>MONTH(#REF!)&gt;MONTH(B$33)</formula>
    </cfRule>
  </conditionalFormatting>
  <conditionalFormatting sqref="A34">
    <cfRule type="expression" dxfId="24" priority="1">
      <formula>WEEKDAY(A34,2)&gt;5</formula>
    </cfRule>
  </conditionalFormatting>
  <dataValidations disablePrompts="1" count="2">
    <dataValidation type="whole" allowBlank="1" showInputMessage="1" showErrorMessage="1" sqref="E10:G10" xr:uid="{79DB8754-9AF6-41A3-9837-681D0391BAE7}">
      <formula1>0</formula1>
      <formula2>12350</formula2>
    </dataValidation>
    <dataValidation type="list" allowBlank="1" showInputMessage="1" showErrorMessage="1" sqref="E5" xr:uid="{D55DFBF8-C1A3-46BE-8EEF-0D4F0F2568EE}">
      <formula1>"Mitarbeiter, Inhaber, Massgebende Entscheidbefugnis, Ehegatte, Gesellschafter"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C8B8-FF92-468D-ACCB-2BA1D8CC5006}">
  <sheetPr>
    <tabColor rgb="FF92D050"/>
  </sheetPr>
  <dimension ref="A1:T61"/>
  <sheetViews>
    <sheetView zoomScaleNormal="100" workbookViewId="0">
      <selection activeCell="W33" sqref="W33"/>
    </sheetView>
  </sheetViews>
  <sheetFormatPr baseColWidth="10" defaultRowHeight="14.5" x14ac:dyDescent="0.35"/>
  <cols>
    <col min="1" max="1" width="18.7265625" style="2" customWidth="1"/>
    <col min="2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26953125" customWidth="1"/>
    <col min="11" max="11" width="2.7265625" customWidth="1"/>
    <col min="13" max="13" width="11.453125" customWidth="1"/>
    <col min="16" max="16" width="10.26953125" customWidth="1"/>
    <col min="19" max="19" width="2.7265625" customWidth="1"/>
  </cols>
  <sheetData>
    <row r="1" spans="1:20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20" s="2" customFormat="1" ht="14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20" s="2" customFormat="1" ht="15" customHeight="1" x14ac:dyDescent="0.3">
      <c r="A3" s="3" t="s">
        <v>0</v>
      </c>
      <c r="B3" s="4"/>
      <c r="C3" s="4"/>
      <c r="D3" s="4"/>
      <c r="E3" s="134" t="s">
        <v>96</v>
      </c>
      <c r="F3" s="134"/>
      <c r="G3" s="134"/>
      <c r="H3" s="4"/>
      <c r="I3" s="4"/>
      <c r="K3" s="40"/>
      <c r="L3" s="34"/>
      <c r="M3" s="34"/>
      <c r="N3" s="34"/>
      <c r="O3" s="34"/>
      <c r="P3" s="34"/>
      <c r="Q3" s="34"/>
      <c r="R3" s="34"/>
      <c r="S3" s="41"/>
      <c r="T3" s="34"/>
    </row>
    <row r="4" spans="1:20" s="2" customFormat="1" ht="14" x14ac:dyDescent="0.3">
      <c r="A4" s="3" t="s">
        <v>1</v>
      </c>
      <c r="B4" s="4"/>
      <c r="C4" s="4"/>
      <c r="D4" s="4"/>
      <c r="E4" s="135" t="s">
        <v>97</v>
      </c>
      <c r="F4" s="135"/>
      <c r="G4" s="135"/>
      <c r="H4" s="4"/>
      <c r="I4" s="4"/>
      <c r="K4" s="40"/>
      <c r="L4" s="34"/>
      <c r="M4" s="34"/>
      <c r="N4" s="34"/>
      <c r="O4" s="34"/>
      <c r="P4" s="34" t="s">
        <v>87</v>
      </c>
      <c r="Q4" s="34"/>
      <c r="R4" s="34"/>
      <c r="S4" s="41"/>
      <c r="T4" s="34"/>
    </row>
    <row r="5" spans="1:20" s="2" customFormat="1" ht="14" x14ac:dyDescent="0.3">
      <c r="A5" s="3" t="s">
        <v>18</v>
      </c>
      <c r="B5" s="4"/>
      <c r="C5" s="4"/>
      <c r="D5" s="4"/>
      <c r="E5" s="135" t="s">
        <v>19</v>
      </c>
      <c r="F5" s="135"/>
      <c r="G5" s="135"/>
      <c r="H5" s="135"/>
      <c r="I5" s="135"/>
      <c r="K5" s="40"/>
      <c r="L5" s="34"/>
      <c r="M5" s="34"/>
      <c r="N5" s="34"/>
      <c r="O5" s="34"/>
      <c r="P5" s="34" t="s">
        <v>88</v>
      </c>
      <c r="Q5" s="34"/>
      <c r="R5" s="34"/>
      <c r="S5" s="41"/>
      <c r="T5" s="34"/>
    </row>
    <row r="6" spans="1:20" s="2" customFormat="1" ht="14" x14ac:dyDescent="0.3">
      <c r="A6" s="3" t="s">
        <v>2</v>
      </c>
      <c r="B6" s="4"/>
      <c r="C6" s="4"/>
      <c r="D6" s="4"/>
      <c r="E6" s="135">
        <v>42</v>
      </c>
      <c r="F6" s="135"/>
      <c r="G6" s="135"/>
      <c r="H6" s="4"/>
      <c r="I6" s="4"/>
      <c r="K6" s="40"/>
      <c r="L6" s="34"/>
      <c r="M6" s="34"/>
      <c r="N6" s="34"/>
      <c r="O6" s="34"/>
      <c r="P6" s="34" t="s">
        <v>89</v>
      </c>
      <c r="Q6" s="34"/>
      <c r="R6" s="34"/>
      <c r="S6" s="41"/>
      <c r="T6" s="34"/>
    </row>
    <row r="7" spans="1:20" s="2" customFormat="1" ht="14" x14ac:dyDescent="0.3">
      <c r="A7" s="3" t="s">
        <v>3</v>
      </c>
      <c r="B7" s="4"/>
      <c r="C7" s="4"/>
      <c r="D7" s="4"/>
      <c r="E7" s="136">
        <v>1</v>
      </c>
      <c r="F7" s="136"/>
      <c r="G7" s="136"/>
      <c r="H7" s="4"/>
      <c r="I7" s="4"/>
      <c r="K7" s="40"/>
      <c r="L7" s="34"/>
      <c r="M7" s="34"/>
      <c r="N7" s="34"/>
      <c r="O7" s="34"/>
      <c r="P7" s="34"/>
      <c r="Q7" s="34"/>
      <c r="R7" s="34"/>
      <c r="S7" s="41"/>
      <c r="T7" s="34"/>
    </row>
    <row r="8" spans="1:20" s="2" customFormat="1" ht="14" x14ac:dyDescent="0.3">
      <c r="A8" s="3" t="s">
        <v>4</v>
      </c>
      <c r="B8" s="4"/>
      <c r="C8" s="4"/>
      <c r="D8" s="4"/>
      <c r="E8" s="137">
        <f>E6/24*E7</f>
        <v>1.75</v>
      </c>
      <c r="F8" s="137"/>
      <c r="G8" s="137"/>
      <c r="H8" s="4"/>
      <c r="I8" s="4"/>
      <c r="K8" s="40"/>
      <c r="L8" s="34"/>
      <c r="M8" s="34"/>
      <c r="N8" s="34"/>
      <c r="O8" s="34"/>
      <c r="P8" s="34"/>
      <c r="Q8" s="34"/>
      <c r="R8" s="34"/>
      <c r="S8" s="41"/>
      <c r="T8" s="34"/>
    </row>
    <row r="9" spans="1:20" s="2" customFormat="1" ht="14" x14ac:dyDescent="0.3">
      <c r="A9" s="3" t="s">
        <v>65</v>
      </c>
      <c r="B9" s="4"/>
      <c r="C9" s="4"/>
      <c r="D9" s="130"/>
      <c r="E9" s="131">
        <v>7000</v>
      </c>
      <c r="F9" s="131"/>
      <c r="G9" s="131"/>
      <c r="H9" s="4"/>
      <c r="I9" s="4"/>
      <c r="K9" s="40"/>
      <c r="L9" s="34"/>
      <c r="M9" s="34"/>
      <c r="N9" s="34"/>
      <c r="O9" s="34"/>
      <c r="P9" s="34"/>
      <c r="Q9" s="34"/>
      <c r="R9" s="34"/>
      <c r="S9" s="41"/>
      <c r="T9" s="34"/>
    </row>
    <row r="10" spans="1:20" s="2" customFormat="1" ht="14" x14ac:dyDescent="0.3">
      <c r="A10" s="3" t="s">
        <v>20</v>
      </c>
      <c r="B10" s="4"/>
      <c r="C10" s="4"/>
      <c r="D10" s="130"/>
      <c r="E10" s="131">
        <f>IF(E5="Mitarbeiter",IF(E9&lt;12350,E9,12350),IF(E5="Ehegatte",IF(E9&lt;4150,E9,4150),IF(E5="Inhaber",IF(E9&lt;4150,E9,4150),IF(E5="Gesellschafter",IF(E9&lt;4150,E9,4150),IF(E5="Massgebende Entscheidbefugnis",IF(E9&lt;4150,E9,4150))))))</f>
        <v>7000</v>
      </c>
      <c r="F10" s="131"/>
      <c r="G10" s="131"/>
      <c r="H10" s="4"/>
      <c r="I10" s="4"/>
      <c r="K10" s="40"/>
      <c r="L10" s="34"/>
      <c r="M10" s="34"/>
      <c r="N10" s="34"/>
      <c r="O10" s="34"/>
      <c r="P10" s="34"/>
      <c r="Q10" s="34"/>
      <c r="R10" s="34"/>
      <c r="S10" s="41"/>
      <c r="T10" s="34"/>
    </row>
    <row r="11" spans="1:20" s="2" customFormat="1" thickBot="1" x14ac:dyDescent="0.35">
      <c r="K11" s="40"/>
      <c r="L11" s="34" t="s">
        <v>77</v>
      </c>
      <c r="M11" s="34"/>
      <c r="N11" s="34"/>
      <c r="O11" s="34"/>
      <c r="P11" s="34"/>
      <c r="Q11" s="34"/>
      <c r="R11" s="34"/>
      <c r="S11" s="41"/>
      <c r="T11" s="34"/>
    </row>
    <row r="12" spans="1:20" s="2" customForma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Hans Muster</v>
      </c>
      <c r="M12" s="34"/>
      <c r="N12" s="34"/>
      <c r="O12" s="34"/>
      <c r="P12" s="34"/>
      <c r="Q12" s="34"/>
      <c r="R12" s="34"/>
      <c r="S12" s="41"/>
      <c r="T12" s="34"/>
    </row>
    <row r="13" spans="1:20" s="2" customFormat="1" ht="14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98</v>
      </c>
      <c r="M13" s="34"/>
      <c r="N13" s="34"/>
      <c r="O13" s="34"/>
      <c r="P13" s="34"/>
      <c r="Q13" s="34"/>
      <c r="R13" s="34"/>
      <c r="S13" s="41"/>
      <c r="T13" s="34"/>
    </row>
    <row r="14" spans="1:20" s="2" customFormat="1" ht="14" x14ac:dyDescent="0.3">
      <c r="A14" s="12">
        <v>43952</v>
      </c>
      <c r="B14" s="118">
        <v>0.31597222222222221</v>
      </c>
      <c r="C14" s="119">
        <v>0.46875</v>
      </c>
      <c r="D14" s="120"/>
      <c r="E14" s="118"/>
      <c r="F14" s="16"/>
      <c r="G14" s="17">
        <f>IF(B14="Ferien",I14,C14-B14+E14-D14)</f>
        <v>0.15277777777777779</v>
      </c>
      <c r="H14" s="18"/>
      <c r="I14" s="17">
        <f>$E$8/5</f>
        <v>0.35</v>
      </c>
      <c r="K14" s="40"/>
      <c r="L14" s="34" t="s">
        <v>99</v>
      </c>
      <c r="M14" s="34"/>
      <c r="N14" s="34"/>
      <c r="O14" s="34"/>
      <c r="P14" s="34"/>
      <c r="Q14" s="34"/>
      <c r="R14" s="34"/>
      <c r="S14" s="41"/>
      <c r="T14" s="34"/>
    </row>
    <row r="15" spans="1:20" s="2" customFormat="1" ht="14" x14ac:dyDescent="0.3">
      <c r="A15" s="12">
        <f>A14+1</f>
        <v>43953</v>
      </c>
      <c r="B15" s="118"/>
      <c r="C15" s="119"/>
      <c r="D15" s="120"/>
      <c r="E15" s="118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  <c r="T15" s="34"/>
    </row>
    <row r="16" spans="1:20" s="2" customFormat="1" ht="14" x14ac:dyDescent="0.3">
      <c r="A16" s="12">
        <f t="shared" ref="A16:A44" si="0">A15+1</f>
        <v>43954</v>
      </c>
      <c r="B16" s="118"/>
      <c r="C16" s="119"/>
      <c r="D16" s="121"/>
      <c r="E16" s="122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  <c r="T16" s="34"/>
    </row>
    <row r="17" spans="1:20" s="2" customFormat="1" ht="14" x14ac:dyDescent="0.3">
      <c r="A17" s="12">
        <f>A16+1</f>
        <v>43955</v>
      </c>
      <c r="B17" s="118">
        <v>0.30902777777777779</v>
      </c>
      <c r="C17" s="119">
        <v>0.5</v>
      </c>
      <c r="D17" s="121"/>
      <c r="E17" s="122"/>
      <c r="F17" s="19"/>
      <c r="G17" s="17">
        <f t="shared" ref="G17:G42" si="1">IF(B17="Ferien",I17,C17-B17+E17-D17)</f>
        <v>0.19097222222222221</v>
      </c>
      <c r="H17" s="20"/>
      <c r="I17" s="17">
        <f t="shared" ref="I17:I42" si="2">$E$8/5</f>
        <v>0.35</v>
      </c>
      <c r="K17" s="40"/>
      <c r="L17" s="47" t="s">
        <v>33</v>
      </c>
      <c r="M17" s="48"/>
      <c r="N17" s="49" t="s">
        <v>66</v>
      </c>
      <c r="O17" s="34"/>
      <c r="P17" s="34" t="s">
        <v>67</v>
      </c>
      <c r="Q17" s="106">
        <v>43972</v>
      </c>
      <c r="R17" s="34"/>
      <c r="S17" s="41"/>
      <c r="T17" s="34"/>
    </row>
    <row r="18" spans="1:20" s="2" customFormat="1" ht="14" x14ac:dyDescent="0.3">
      <c r="A18" s="12">
        <f t="shared" si="0"/>
        <v>43956</v>
      </c>
      <c r="B18" s="118">
        <v>0.33333333333333331</v>
      </c>
      <c r="C18" s="119">
        <v>0.5</v>
      </c>
      <c r="D18" s="120">
        <v>0.55208333333333337</v>
      </c>
      <c r="E18" s="118">
        <v>0.66666666666666663</v>
      </c>
      <c r="F18" s="19"/>
      <c r="G18" s="17">
        <f t="shared" si="1"/>
        <v>0.28124999999999989</v>
      </c>
      <c r="H18" s="20"/>
      <c r="I18" s="17">
        <f t="shared" si="2"/>
        <v>0.35</v>
      </c>
      <c r="K18" s="40"/>
      <c r="L18" s="34"/>
      <c r="M18" s="34"/>
      <c r="N18" s="34"/>
      <c r="O18" s="34"/>
      <c r="P18" s="34"/>
      <c r="Q18" s="34"/>
      <c r="R18" s="34"/>
      <c r="S18" s="41"/>
      <c r="T18" s="34"/>
    </row>
    <row r="19" spans="1:20" s="2" customFormat="1" ht="14" x14ac:dyDescent="0.3">
      <c r="A19" s="12">
        <f t="shared" si="0"/>
        <v>43957</v>
      </c>
      <c r="B19" s="118">
        <v>0.30208333333333331</v>
      </c>
      <c r="C19" s="119">
        <v>0.41666666666666669</v>
      </c>
      <c r="D19" s="120"/>
      <c r="E19" s="118"/>
      <c r="F19" s="19"/>
      <c r="G19" s="17">
        <f t="shared" si="1"/>
        <v>0.11458333333333337</v>
      </c>
      <c r="H19" s="20"/>
      <c r="I19" s="17">
        <f t="shared" si="2"/>
        <v>0.35</v>
      </c>
      <c r="K19" s="40"/>
      <c r="L19" s="34"/>
      <c r="M19" s="34"/>
      <c r="N19" s="34"/>
      <c r="O19" s="34"/>
      <c r="P19" s="34"/>
      <c r="Q19" s="34"/>
      <c r="R19" s="34"/>
      <c r="S19" s="41"/>
      <c r="T19" s="34"/>
    </row>
    <row r="20" spans="1:20" s="2" customFormat="1" ht="14" x14ac:dyDescent="0.3">
      <c r="A20" s="12">
        <f t="shared" si="0"/>
        <v>43958</v>
      </c>
      <c r="B20" s="118">
        <v>0.28819444444444448</v>
      </c>
      <c r="C20" s="119">
        <v>0.5</v>
      </c>
      <c r="D20" s="120">
        <v>0.5625</v>
      </c>
      <c r="E20" s="118">
        <v>0.70833333333333337</v>
      </c>
      <c r="F20" s="19"/>
      <c r="G20" s="17">
        <f t="shared" si="1"/>
        <v>0.35763888888888884</v>
      </c>
      <c r="H20" s="20"/>
      <c r="I20" s="17">
        <f t="shared" si="2"/>
        <v>0.35</v>
      </c>
      <c r="K20" s="40"/>
      <c r="L20" s="34" t="s">
        <v>34</v>
      </c>
      <c r="M20" s="34"/>
      <c r="O20" s="59" t="s">
        <v>22</v>
      </c>
      <c r="P20" s="59" t="s">
        <v>35</v>
      </c>
      <c r="Q20" s="59"/>
      <c r="R20" s="59" t="s">
        <v>36</v>
      </c>
      <c r="S20" s="41"/>
      <c r="T20" s="34"/>
    </row>
    <row r="21" spans="1:20" s="2" customFormat="1" ht="14" x14ac:dyDescent="0.3">
      <c r="A21" s="12">
        <f t="shared" si="0"/>
        <v>43959</v>
      </c>
      <c r="B21" s="118">
        <v>0.32291666666666669</v>
      </c>
      <c r="C21" s="119">
        <v>0.5</v>
      </c>
      <c r="D21" s="120"/>
      <c r="E21" s="118"/>
      <c r="F21" s="19"/>
      <c r="G21" s="17">
        <f t="shared" si="1"/>
        <v>0.17708333333333331</v>
      </c>
      <c r="H21" s="20"/>
      <c r="I21" s="17">
        <f t="shared" si="2"/>
        <v>0.35</v>
      </c>
      <c r="K21" s="40"/>
      <c r="L21" s="35"/>
      <c r="M21" s="35"/>
      <c r="N21" s="60"/>
      <c r="O21" s="60"/>
      <c r="P21" s="60"/>
      <c r="Q21" s="60"/>
      <c r="R21" s="60"/>
      <c r="S21" s="42"/>
      <c r="T21" s="34"/>
    </row>
    <row r="22" spans="1:20" s="2" customFormat="1" ht="14" x14ac:dyDescent="0.3">
      <c r="A22" s="12">
        <f t="shared" si="0"/>
        <v>43960</v>
      </c>
      <c r="B22" s="118"/>
      <c r="C22" s="119"/>
      <c r="D22" s="120"/>
      <c r="E22" s="118"/>
      <c r="F22" s="19"/>
      <c r="G22" s="17"/>
      <c r="H22" s="20"/>
      <c r="I22" s="17"/>
      <c r="K22" s="40"/>
      <c r="L22" s="33" t="s">
        <v>37</v>
      </c>
      <c r="M22" s="33"/>
      <c r="N22" s="69"/>
      <c r="O22" s="69">
        <f>ROUND((R22/P22)*2,1)/2</f>
        <v>7000</v>
      </c>
      <c r="P22" s="104">
        <f>E7</f>
        <v>1</v>
      </c>
      <c r="Q22" s="69"/>
      <c r="R22" s="69">
        <f>E9</f>
        <v>7000</v>
      </c>
      <c r="S22" s="42"/>
      <c r="T22" s="34"/>
    </row>
    <row r="23" spans="1:20" s="2" customFormat="1" ht="14" x14ac:dyDescent="0.3">
      <c r="A23" s="12">
        <f t="shared" si="0"/>
        <v>43961</v>
      </c>
      <c r="B23" s="118"/>
      <c r="C23" s="119"/>
      <c r="D23" s="120"/>
      <c r="E23" s="118"/>
      <c r="F23" s="19"/>
      <c r="G23" s="17"/>
      <c r="H23" s="20"/>
      <c r="I23" s="17"/>
      <c r="K23" s="40"/>
      <c r="L23" s="36" t="s">
        <v>38</v>
      </c>
      <c r="M23" s="36"/>
      <c r="N23" s="70"/>
      <c r="O23" s="70"/>
      <c r="P23" s="70"/>
      <c r="Q23" s="70"/>
      <c r="R23" s="70">
        <f>R22</f>
        <v>7000</v>
      </c>
      <c r="S23" s="42"/>
      <c r="T23" s="34"/>
    </row>
    <row r="24" spans="1:20" s="2" customFormat="1" ht="14" x14ac:dyDescent="0.3">
      <c r="A24" s="12">
        <f t="shared" si="0"/>
        <v>43962</v>
      </c>
      <c r="B24" s="118">
        <v>0.30902777777777779</v>
      </c>
      <c r="C24" s="119">
        <v>0.5</v>
      </c>
      <c r="D24" s="121"/>
      <c r="E24" s="122"/>
      <c r="F24" s="19"/>
      <c r="G24" s="17">
        <f t="shared" si="1"/>
        <v>0.19097222222222221</v>
      </c>
      <c r="H24" s="20"/>
      <c r="I24" s="17">
        <f t="shared" si="2"/>
        <v>0.35</v>
      </c>
      <c r="K24" s="40"/>
      <c r="L24" s="35" t="s">
        <v>75</v>
      </c>
      <c r="M24" s="35"/>
      <c r="N24" s="60"/>
      <c r="O24" s="60">
        <v>0</v>
      </c>
      <c r="P24" s="60">
        <v>230</v>
      </c>
      <c r="Q24" s="60"/>
      <c r="R24" s="60">
        <f>O24*P24</f>
        <v>0</v>
      </c>
      <c r="S24" s="42"/>
      <c r="T24" s="34"/>
    </row>
    <row r="25" spans="1:20" s="2" customFormat="1" ht="14" x14ac:dyDescent="0.3">
      <c r="A25" s="12">
        <f t="shared" si="0"/>
        <v>43963</v>
      </c>
      <c r="B25" s="118">
        <v>0.33333333333333331</v>
      </c>
      <c r="C25" s="119">
        <v>0.5</v>
      </c>
      <c r="D25" s="120">
        <v>0.55208333333333337</v>
      </c>
      <c r="E25" s="118">
        <v>0.66666666666666663</v>
      </c>
      <c r="F25" s="19"/>
      <c r="G25" s="17">
        <f t="shared" si="1"/>
        <v>0.28124999999999989</v>
      </c>
      <c r="H25" s="20"/>
      <c r="I25" s="17">
        <f t="shared" si="2"/>
        <v>0.35</v>
      </c>
      <c r="K25" s="40"/>
      <c r="L25" s="35"/>
      <c r="M25" s="35"/>
      <c r="N25" s="60"/>
      <c r="O25" s="60"/>
      <c r="P25" s="60"/>
      <c r="Q25" s="60"/>
      <c r="R25" s="60"/>
      <c r="S25" s="43"/>
      <c r="T25" s="34"/>
    </row>
    <row r="26" spans="1:20" s="2" customFormat="1" ht="14" x14ac:dyDescent="0.3">
      <c r="A26" s="12">
        <f t="shared" si="0"/>
        <v>43964</v>
      </c>
      <c r="B26" s="118">
        <v>0.30208333333333331</v>
      </c>
      <c r="C26" s="119">
        <v>0.41666666666666669</v>
      </c>
      <c r="D26" s="120"/>
      <c r="E26" s="118"/>
      <c r="F26" s="19"/>
      <c r="G26" s="17">
        <f t="shared" si="1"/>
        <v>0.11458333333333337</v>
      </c>
      <c r="H26" s="20"/>
      <c r="I26" s="17">
        <f t="shared" si="2"/>
        <v>0.35</v>
      </c>
      <c r="K26" s="40"/>
      <c r="L26" s="35" t="s">
        <v>39</v>
      </c>
      <c r="M26" s="35"/>
      <c r="N26" s="60"/>
      <c r="O26" s="60">
        <f>$R$22</f>
        <v>7000</v>
      </c>
      <c r="P26" s="71">
        <v>5.2749999999999998E-2</v>
      </c>
      <c r="Q26" s="60"/>
      <c r="R26" s="60">
        <f>ROUND((O26*P26)*2,1)/2</f>
        <v>369.25</v>
      </c>
      <c r="S26" s="43"/>
      <c r="T26" s="34"/>
    </row>
    <row r="27" spans="1:20" s="2" customFormat="1" ht="14" x14ac:dyDescent="0.3">
      <c r="A27" s="12">
        <f t="shared" si="0"/>
        <v>43965</v>
      </c>
      <c r="B27" s="118">
        <v>0.28819444444444448</v>
      </c>
      <c r="C27" s="119">
        <v>0.5</v>
      </c>
      <c r="D27" s="120">
        <v>0.5625</v>
      </c>
      <c r="E27" s="118">
        <v>0.70833333333333337</v>
      </c>
      <c r="F27" s="19"/>
      <c r="G27" s="17">
        <f t="shared" si="1"/>
        <v>0.35763888888888884</v>
      </c>
      <c r="H27" s="20"/>
      <c r="I27" s="17">
        <f t="shared" si="2"/>
        <v>0.35</v>
      </c>
      <c r="K27" s="40"/>
      <c r="L27" s="35" t="s">
        <v>40</v>
      </c>
      <c r="M27" s="35"/>
      <c r="N27" s="60"/>
      <c r="O27" s="60">
        <f>$R$22</f>
        <v>7000</v>
      </c>
      <c r="P27" s="71">
        <v>1.0999999999999999E-2</v>
      </c>
      <c r="Q27" s="60"/>
      <c r="R27" s="60">
        <f t="shared" ref="R27:R29" si="3">ROUND((O27*P27)*2,1)/2</f>
        <v>77</v>
      </c>
      <c r="S27" s="43"/>
      <c r="T27" s="34"/>
    </row>
    <row r="28" spans="1:20" s="2" customFormat="1" ht="14" x14ac:dyDescent="0.3">
      <c r="A28" s="12">
        <f t="shared" si="0"/>
        <v>43966</v>
      </c>
      <c r="B28" s="118">
        <v>0.32291666666666669</v>
      </c>
      <c r="C28" s="119">
        <v>0.5</v>
      </c>
      <c r="D28" s="120"/>
      <c r="E28" s="118"/>
      <c r="F28" s="19"/>
      <c r="G28" s="17">
        <f t="shared" si="1"/>
        <v>0.17708333333333331</v>
      </c>
      <c r="H28" s="20"/>
      <c r="I28" s="17">
        <f t="shared" si="2"/>
        <v>0.35</v>
      </c>
      <c r="K28" s="40"/>
      <c r="L28" s="35" t="s">
        <v>41</v>
      </c>
      <c r="M28" s="35"/>
      <c r="N28" s="60"/>
      <c r="O28" s="60">
        <v>0</v>
      </c>
      <c r="P28" s="71">
        <v>9.3500000000000007E-3</v>
      </c>
      <c r="Q28" s="60"/>
      <c r="R28" s="60">
        <f t="shared" si="3"/>
        <v>0</v>
      </c>
      <c r="S28" s="42"/>
      <c r="T28" s="34"/>
    </row>
    <row r="29" spans="1:20" s="2" customFormat="1" ht="14" x14ac:dyDescent="0.3">
      <c r="A29" s="12">
        <f t="shared" si="0"/>
        <v>43967</v>
      </c>
      <c r="B29" s="118"/>
      <c r="C29" s="119"/>
      <c r="D29" s="120"/>
      <c r="E29" s="118"/>
      <c r="F29" s="19"/>
      <c r="G29" s="17"/>
      <c r="H29" s="20"/>
      <c r="I29" s="17"/>
      <c r="K29" s="40"/>
      <c r="L29" s="35" t="s">
        <v>42</v>
      </c>
      <c r="M29" s="35"/>
      <c r="N29" s="60"/>
      <c r="O29" s="60">
        <f t="shared" ref="O29" si="4">$R$22</f>
        <v>7000</v>
      </c>
      <c r="P29" s="71">
        <v>5.1700000000000001E-3</v>
      </c>
      <c r="Q29" s="60"/>
      <c r="R29" s="60">
        <f t="shared" si="3"/>
        <v>36.200000000000003</v>
      </c>
      <c r="S29" s="42"/>
      <c r="T29" s="34"/>
    </row>
    <row r="30" spans="1:20" s="2" customFormat="1" ht="14" x14ac:dyDescent="0.3">
      <c r="A30" s="12">
        <f t="shared" si="0"/>
        <v>43968</v>
      </c>
      <c r="B30" s="118"/>
      <c r="C30" s="119"/>
      <c r="D30" s="120"/>
      <c r="E30" s="118"/>
      <c r="F30" s="19"/>
      <c r="G30" s="17"/>
      <c r="H30" s="20"/>
      <c r="I30" s="17"/>
      <c r="K30" s="40"/>
      <c r="L30" s="33" t="s">
        <v>43</v>
      </c>
      <c r="M30" s="33"/>
      <c r="N30" s="69"/>
      <c r="O30" s="69"/>
      <c r="P30" s="69"/>
      <c r="Q30" s="69"/>
      <c r="R30" s="69">
        <v>700</v>
      </c>
      <c r="S30" s="42"/>
      <c r="T30" s="34"/>
    </row>
    <row r="31" spans="1:20" s="2" customFormat="1" ht="14" x14ac:dyDescent="0.3">
      <c r="A31" s="12">
        <f t="shared" si="0"/>
        <v>43969</v>
      </c>
      <c r="B31" s="118" t="s">
        <v>110</v>
      </c>
      <c r="C31" s="119"/>
      <c r="D31" s="121"/>
      <c r="E31" s="122"/>
      <c r="F31" s="19"/>
      <c r="G31" s="17">
        <f t="shared" si="1"/>
        <v>0.35</v>
      </c>
      <c r="H31" s="20"/>
      <c r="I31" s="17">
        <f t="shared" si="2"/>
        <v>0.35</v>
      </c>
      <c r="K31" s="40"/>
      <c r="L31" s="36" t="s">
        <v>44</v>
      </c>
      <c r="M31" s="36"/>
      <c r="N31" s="70"/>
      <c r="O31" s="70"/>
      <c r="P31" s="70"/>
      <c r="Q31" s="70"/>
      <c r="R31" s="70">
        <f>R23-SUM(R26:R30)</f>
        <v>5817.55</v>
      </c>
      <c r="S31" s="42"/>
      <c r="T31" s="34"/>
    </row>
    <row r="32" spans="1:20" s="2" customFormat="1" ht="14" x14ac:dyDescent="0.3">
      <c r="A32" s="12">
        <f t="shared" si="0"/>
        <v>43970</v>
      </c>
      <c r="B32" s="118" t="s">
        <v>110</v>
      </c>
      <c r="C32" s="119"/>
      <c r="D32" s="120"/>
      <c r="E32" s="118"/>
      <c r="F32" s="19"/>
      <c r="G32" s="17">
        <f t="shared" si="1"/>
        <v>0.35</v>
      </c>
      <c r="H32" s="20"/>
      <c r="I32" s="17">
        <f t="shared" si="2"/>
        <v>0.35</v>
      </c>
      <c r="K32" s="40"/>
      <c r="L32" s="36"/>
      <c r="M32" s="36"/>
      <c r="N32" s="70"/>
      <c r="O32" s="70"/>
      <c r="P32" s="70"/>
      <c r="Q32" s="70"/>
      <c r="R32" s="70"/>
      <c r="S32" s="42"/>
      <c r="T32" s="34"/>
    </row>
    <row r="33" spans="1:20" s="2" customFormat="1" ht="14" x14ac:dyDescent="0.3">
      <c r="A33" s="12">
        <f t="shared" si="0"/>
        <v>43971</v>
      </c>
      <c r="B33" s="118" t="s">
        <v>110</v>
      </c>
      <c r="C33" s="119"/>
      <c r="D33" s="120"/>
      <c r="E33" s="118"/>
      <c r="F33" s="19"/>
      <c r="G33" s="17">
        <f t="shared" si="1"/>
        <v>0.35</v>
      </c>
      <c r="H33" s="20"/>
      <c r="I33" s="17">
        <f t="shared" si="2"/>
        <v>0.35</v>
      </c>
      <c r="K33" s="40"/>
      <c r="L33" s="36" t="s">
        <v>73</v>
      </c>
      <c r="M33" s="36"/>
      <c r="N33" s="70"/>
      <c r="O33" s="70"/>
      <c r="P33" s="70"/>
      <c r="Q33" s="70"/>
      <c r="R33" s="70"/>
      <c r="S33" s="42"/>
      <c r="T33" s="34"/>
    </row>
    <row r="34" spans="1:20" s="2" customFormat="1" ht="14" x14ac:dyDescent="0.3">
      <c r="A34" s="108">
        <f t="shared" si="0"/>
        <v>43972</v>
      </c>
      <c r="B34" s="112"/>
      <c r="C34" s="123"/>
      <c r="D34" s="111"/>
      <c r="E34" s="112"/>
      <c r="F34" s="19"/>
      <c r="G34" s="113">
        <f t="shared" si="1"/>
        <v>0</v>
      </c>
      <c r="H34" s="20"/>
      <c r="I34" s="113">
        <v>0</v>
      </c>
      <c r="K34" s="40"/>
      <c r="L34" s="35" t="s">
        <v>69</v>
      </c>
      <c r="M34" s="35"/>
      <c r="O34" s="60">
        <f>R23</f>
        <v>7000</v>
      </c>
      <c r="P34" s="107">
        <v>0.25</v>
      </c>
      <c r="Q34" s="60"/>
      <c r="R34" s="60">
        <f>ROUND(P34*O34*2,1)/2*-1</f>
        <v>-1750</v>
      </c>
      <c r="S34" s="43"/>
      <c r="T34" s="34"/>
    </row>
    <row r="35" spans="1:20" s="2" customFormat="1" ht="14" x14ac:dyDescent="0.3">
      <c r="A35" s="12">
        <f t="shared" si="0"/>
        <v>43973</v>
      </c>
      <c r="B35" s="118" t="s">
        <v>111</v>
      </c>
      <c r="C35" s="119"/>
      <c r="D35" s="120"/>
      <c r="E35" s="118"/>
      <c r="F35" s="19"/>
      <c r="G35" s="17">
        <v>0.35000000000000003</v>
      </c>
      <c r="H35" s="20"/>
      <c r="I35" s="17">
        <f t="shared" si="2"/>
        <v>0.35</v>
      </c>
      <c r="K35" s="40"/>
      <c r="L35" s="33" t="str">
        <f>IF(E10=4150,"Entschädigung (80% von CHF 4'125)",IF(O34&gt;12350,"Entschädigung (80% von CHF 12'350)","Entschädigung (80%)"))</f>
        <v>Entschädigung (80%)</v>
      </c>
      <c r="M35" s="33"/>
      <c r="N35" s="69"/>
      <c r="O35" s="69"/>
      <c r="P35" s="69"/>
      <c r="Q35" s="69"/>
      <c r="R35" s="69">
        <f>IF(E10=4150,E10*P34*0.8,IF(E10&gt;12345,E10*P34*0.8,R34*0.8*-1))</f>
        <v>1400</v>
      </c>
      <c r="S35" s="42"/>
      <c r="T35" s="34"/>
    </row>
    <row r="36" spans="1:20" s="2" customFormat="1" ht="14" x14ac:dyDescent="0.3">
      <c r="A36" s="12">
        <f t="shared" si="0"/>
        <v>43974</v>
      </c>
      <c r="B36" s="118"/>
      <c r="C36" s="119"/>
      <c r="D36" s="120"/>
      <c r="E36" s="118"/>
      <c r="F36" s="19"/>
      <c r="G36" s="17"/>
      <c r="H36" s="20"/>
      <c r="I36" s="17"/>
      <c r="K36" s="40"/>
      <c r="L36" s="33" t="s">
        <v>74</v>
      </c>
      <c r="M36" s="33"/>
      <c r="N36" s="69"/>
      <c r="O36" s="69"/>
      <c r="P36" s="69"/>
      <c r="Q36" s="69"/>
      <c r="R36" s="69">
        <f>R34+R35</f>
        <v>-350</v>
      </c>
      <c r="S36" s="42"/>
      <c r="T36" s="34"/>
    </row>
    <row r="37" spans="1:20" s="2" customFormat="1" ht="14" x14ac:dyDescent="0.3">
      <c r="A37" s="12">
        <f t="shared" si="0"/>
        <v>43975</v>
      </c>
      <c r="B37" s="118"/>
      <c r="C37" s="119"/>
      <c r="D37" s="120"/>
      <c r="E37" s="118"/>
      <c r="F37" s="19"/>
      <c r="G37" s="17"/>
      <c r="H37" s="20"/>
      <c r="I37" s="17"/>
      <c r="K37" s="40"/>
      <c r="L37" s="103" t="s">
        <v>70</v>
      </c>
      <c r="M37" s="103"/>
      <c r="N37" s="105"/>
      <c r="O37" s="105"/>
      <c r="P37" s="105"/>
      <c r="Q37" s="105"/>
      <c r="R37" s="105">
        <f>R31+R36</f>
        <v>5467.55</v>
      </c>
      <c r="S37" s="42"/>
      <c r="T37" s="34"/>
    </row>
    <row r="38" spans="1:20" s="2" customFormat="1" ht="14" x14ac:dyDescent="0.3">
      <c r="A38" s="12">
        <f t="shared" si="0"/>
        <v>43976</v>
      </c>
      <c r="B38" s="118">
        <v>0.30902777777777779</v>
      </c>
      <c r="C38" s="119">
        <v>0.5</v>
      </c>
      <c r="D38" s="121"/>
      <c r="E38" s="122"/>
      <c r="F38" s="19"/>
      <c r="G38" s="17">
        <f t="shared" si="1"/>
        <v>0.19097222222222221</v>
      </c>
      <c r="H38" s="20"/>
      <c r="I38" s="17">
        <f t="shared" si="2"/>
        <v>0.35</v>
      </c>
      <c r="K38" s="40"/>
      <c r="L38" s="35" t="s">
        <v>71</v>
      </c>
      <c r="M38" s="35"/>
      <c r="N38" s="35"/>
      <c r="O38" s="35"/>
      <c r="P38" s="35"/>
      <c r="Q38" s="35"/>
      <c r="R38" s="35"/>
      <c r="S38" s="42"/>
      <c r="T38" s="34"/>
    </row>
    <row r="39" spans="1:20" s="2" customFormat="1" ht="14" x14ac:dyDescent="0.3">
      <c r="A39" s="12">
        <f t="shared" si="0"/>
        <v>43977</v>
      </c>
      <c r="B39" s="118">
        <v>0.33333333333333331</v>
      </c>
      <c r="C39" s="119">
        <v>0.5</v>
      </c>
      <c r="D39" s="120">
        <v>0.55208333333333337</v>
      </c>
      <c r="E39" s="118">
        <v>0.66666666666666663</v>
      </c>
      <c r="F39" s="19"/>
      <c r="G39" s="17">
        <f t="shared" si="1"/>
        <v>0.28124999999999989</v>
      </c>
      <c r="H39" s="20"/>
      <c r="I39" s="17">
        <f t="shared" si="2"/>
        <v>0.35</v>
      </c>
      <c r="K39" s="40"/>
      <c r="L39" s="36" t="s">
        <v>68</v>
      </c>
      <c r="M39" s="35"/>
      <c r="N39" s="35"/>
      <c r="O39" s="35"/>
      <c r="P39" s="35"/>
      <c r="Q39" s="35"/>
      <c r="R39" s="35"/>
      <c r="S39" s="42"/>
      <c r="T39" s="34"/>
    </row>
    <row r="40" spans="1:20" s="2" customFormat="1" ht="14" x14ac:dyDescent="0.3">
      <c r="A40" s="12">
        <f t="shared" si="0"/>
        <v>43978</v>
      </c>
      <c r="B40" s="118">
        <v>0.30208333333333331</v>
      </c>
      <c r="C40" s="119">
        <v>0.41666666666666669</v>
      </c>
      <c r="D40" s="120"/>
      <c r="E40" s="118"/>
      <c r="F40" s="19"/>
      <c r="G40" s="17">
        <f t="shared" si="1"/>
        <v>0.11458333333333337</v>
      </c>
      <c r="H40" s="20"/>
      <c r="I40" s="17">
        <f t="shared" si="2"/>
        <v>0.35</v>
      </c>
      <c r="K40" s="40"/>
      <c r="L40" s="35" t="s">
        <v>91</v>
      </c>
      <c r="M40" s="35"/>
      <c r="N40" s="35"/>
      <c r="O40" s="35"/>
      <c r="P40" s="35"/>
      <c r="Q40" s="35"/>
      <c r="R40" s="35"/>
      <c r="S40" s="42"/>
      <c r="T40" s="34"/>
    </row>
    <row r="41" spans="1:20" s="2" customFormat="1" ht="14" x14ac:dyDescent="0.3">
      <c r="A41" s="12">
        <f t="shared" si="0"/>
        <v>43979</v>
      </c>
      <c r="B41" s="118">
        <v>0.28819444444444448</v>
      </c>
      <c r="C41" s="119">
        <v>0.5</v>
      </c>
      <c r="D41" s="120">
        <v>0.5625</v>
      </c>
      <c r="E41" s="118">
        <v>0.70833333333333337</v>
      </c>
      <c r="F41" s="19"/>
      <c r="G41" s="17">
        <f t="shared" si="1"/>
        <v>0.35763888888888884</v>
      </c>
      <c r="H41" s="20"/>
      <c r="I41" s="17">
        <f t="shared" si="2"/>
        <v>0.35</v>
      </c>
      <c r="K41" s="40"/>
      <c r="L41" s="35" t="s">
        <v>92</v>
      </c>
      <c r="M41" s="35"/>
      <c r="N41" s="35"/>
      <c r="O41" s="35"/>
      <c r="P41" s="35"/>
      <c r="Q41" s="35"/>
      <c r="R41" s="35"/>
      <c r="S41" s="42"/>
      <c r="T41" s="34"/>
    </row>
    <row r="42" spans="1:20" s="2" customFormat="1" ht="14" x14ac:dyDescent="0.3">
      <c r="A42" s="12">
        <f t="shared" si="0"/>
        <v>43980</v>
      </c>
      <c r="B42" s="118">
        <v>0.32291666666666669</v>
      </c>
      <c r="C42" s="119">
        <v>0.5</v>
      </c>
      <c r="D42" s="120"/>
      <c r="E42" s="118"/>
      <c r="F42" s="19"/>
      <c r="G42" s="17">
        <f t="shared" si="1"/>
        <v>0.17708333333333331</v>
      </c>
      <c r="H42" s="20"/>
      <c r="I42" s="17">
        <f t="shared" si="2"/>
        <v>0.35</v>
      </c>
      <c r="K42" s="40"/>
      <c r="L42" s="35"/>
      <c r="M42" s="35"/>
      <c r="N42" s="35"/>
      <c r="O42" s="35"/>
      <c r="P42" s="35"/>
      <c r="Q42" s="35"/>
      <c r="R42" s="35"/>
      <c r="S42" s="42"/>
      <c r="T42" s="34"/>
    </row>
    <row r="43" spans="1:20" s="2" customFormat="1" ht="14" x14ac:dyDescent="0.3">
      <c r="A43" s="12">
        <f t="shared" si="0"/>
        <v>43981</v>
      </c>
      <c r="B43" s="122"/>
      <c r="C43" s="124"/>
      <c r="D43" s="121"/>
      <c r="E43" s="122"/>
      <c r="F43" s="19"/>
      <c r="G43" s="17"/>
      <c r="H43" s="20"/>
      <c r="I43" s="17"/>
      <c r="K43" s="40"/>
      <c r="M43" s="35"/>
      <c r="N43" s="35"/>
      <c r="O43" s="35"/>
      <c r="P43" s="35"/>
      <c r="Q43" s="35"/>
      <c r="R43" s="35"/>
      <c r="S43" s="42"/>
      <c r="T43" s="34"/>
    </row>
    <row r="44" spans="1:20" s="2" customFormat="1" thickBot="1" x14ac:dyDescent="0.35">
      <c r="A44" s="12">
        <f t="shared" si="0"/>
        <v>43982</v>
      </c>
      <c r="B44" s="122"/>
      <c r="C44" s="122"/>
      <c r="D44" s="121"/>
      <c r="E44" s="122"/>
      <c r="F44" s="19"/>
      <c r="G44" s="24"/>
      <c r="H44" s="20"/>
      <c r="I44" s="24"/>
      <c r="K44" s="40"/>
      <c r="L44" s="36" t="s">
        <v>45</v>
      </c>
      <c r="M44" s="35"/>
      <c r="N44" s="35"/>
      <c r="O44" s="35"/>
      <c r="P44" s="35"/>
      <c r="Q44" s="35"/>
      <c r="R44" s="35"/>
      <c r="S44" s="42"/>
      <c r="T44" s="34"/>
    </row>
    <row r="45" spans="1:20" s="2" customFormat="1" ht="12" customHeight="1" x14ac:dyDescent="0.3">
      <c r="K45" s="40"/>
      <c r="L45" s="35" t="s">
        <v>46</v>
      </c>
      <c r="M45" s="35"/>
      <c r="N45" s="35"/>
      <c r="O45" s="35"/>
      <c r="P45" s="35"/>
      <c r="Q45" s="35"/>
      <c r="R45" s="35"/>
      <c r="S45" s="42"/>
      <c r="T45" s="34"/>
    </row>
    <row r="46" spans="1:20" s="2" customFormat="1" ht="14" x14ac:dyDescent="0.3">
      <c r="A46" s="2" t="s">
        <v>13</v>
      </c>
      <c r="C46" s="25">
        <f>SUM(I14:I44)*24</f>
        <v>167.99999999999994</v>
      </c>
      <c r="E46" s="2" t="s">
        <v>15</v>
      </c>
      <c r="G46" s="25"/>
      <c r="I46" s="2">
        <v>0</v>
      </c>
      <c r="K46" s="40"/>
      <c r="L46" s="35" t="s">
        <v>47</v>
      </c>
      <c r="M46" s="35"/>
      <c r="N46" s="35"/>
      <c r="O46" s="35"/>
      <c r="P46" s="35"/>
      <c r="Q46" s="35"/>
      <c r="R46" s="35"/>
      <c r="S46" s="42"/>
      <c r="T46" s="34"/>
    </row>
    <row r="47" spans="1:20" s="2" customFormat="1" ht="14" x14ac:dyDescent="0.3">
      <c r="A47" s="27" t="s">
        <v>14</v>
      </c>
      <c r="B47" s="27"/>
      <c r="C47" s="28">
        <f>SUM(G14:G44)*24</f>
        <v>118.01666666666665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  <c r="T47" s="34"/>
    </row>
    <row r="48" spans="1:20" s="2" customFormat="1" thickBot="1" x14ac:dyDescent="0.35">
      <c r="A48" s="29" t="s">
        <v>12</v>
      </c>
      <c r="B48" s="29"/>
      <c r="C48" s="30">
        <f>C47-C46</f>
        <v>-49.983333333333292</v>
      </c>
      <c r="E48" s="29" t="s">
        <v>15</v>
      </c>
      <c r="F48" s="29"/>
      <c r="G48" s="30"/>
      <c r="H48" s="29"/>
      <c r="I48" s="29">
        <f>I46-I47</f>
        <v>0</v>
      </c>
      <c r="K48" s="40"/>
      <c r="L48" s="35"/>
      <c r="M48" s="35"/>
      <c r="N48" s="35"/>
      <c r="O48" s="35"/>
      <c r="P48" s="35"/>
      <c r="Q48" s="35"/>
      <c r="R48" s="35"/>
      <c r="S48" s="42"/>
      <c r="T48" s="34"/>
    </row>
    <row r="49" spans="1:20" s="2" customFormat="1" ht="10.5" customHeight="1" thickTop="1" x14ac:dyDescent="0.3">
      <c r="K49" s="40"/>
      <c r="L49" s="35"/>
      <c r="M49" s="35"/>
      <c r="N49" s="35"/>
      <c r="O49" s="35"/>
      <c r="P49" s="35"/>
      <c r="Q49" s="35"/>
      <c r="R49" s="35"/>
      <c r="S49" s="42"/>
      <c r="T49" s="34"/>
    </row>
    <row r="50" spans="1:20" s="2" customForma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/>
      <c r="M50" s="35"/>
      <c r="N50" s="35"/>
      <c r="O50" s="35"/>
      <c r="P50" s="35"/>
      <c r="Q50" s="35"/>
      <c r="R50" s="35"/>
      <c r="S50" s="42"/>
      <c r="T50" s="34"/>
    </row>
    <row r="51" spans="1:20" s="2" customFormat="1" ht="15" thickTop="1" thickBot="1" x14ac:dyDescent="0.35">
      <c r="A51" s="125" t="s">
        <v>72</v>
      </c>
      <c r="B51" s="126"/>
      <c r="C51" s="126"/>
      <c r="K51" s="51"/>
      <c r="L51" s="44"/>
      <c r="M51" s="44"/>
      <c r="N51" s="44"/>
      <c r="O51" s="44"/>
      <c r="P51" s="44"/>
      <c r="Q51" s="44"/>
      <c r="R51" s="44"/>
      <c r="S51" s="45"/>
      <c r="T51" s="34"/>
    </row>
    <row r="52" spans="1:20" s="2" customFormat="1" ht="14" x14ac:dyDescent="0.3">
      <c r="A52" s="26"/>
      <c r="L52" s="35"/>
      <c r="M52" s="35"/>
      <c r="N52" s="35"/>
      <c r="O52" s="35"/>
      <c r="P52" s="35"/>
      <c r="Q52" s="35"/>
      <c r="R52" s="35"/>
      <c r="S52" s="35"/>
      <c r="T52" s="34"/>
    </row>
    <row r="53" spans="1:20" s="2" customFormat="1" ht="14" x14ac:dyDescent="0.3">
      <c r="L53" s="35"/>
      <c r="M53" s="35"/>
      <c r="N53" s="35"/>
      <c r="O53" s="35"/>
      <c r="P53" s="35"/>
      <c r="Q53" s="35"/>
      <c r="R53" s="35"/>
      <c r="S53" s="35"/>
      <c r="T53" s="34"/>
    </row>
    <row r="54" spans="1:20" s="2" customFormat="1" x14ac:dyDescent="0.35">
      <c r="K54"/>
      <c r="L54" s="35"/>
      <c r="M54" s="35"/>
      <c r="N54" s="35"/>
      <c r="O54" s="35"/>
      <c r="P54" s="35"/>
      <c r="Q54" s="35"/>
      <c r="R54" s="35"/>
      <c r="S54" s="35"/>
      <c r="T54" s="34"/>
    </row>
    <row r="55" spans="1:20" x14ac:dyDescent="0.35">
      <c r="L55" s="35"/>
      <c r="M55" s="35"/>
      <c r="N55" s="35"/>
      <c r="O55" s="35"/>
      <c r="P55" s="35"/>
      <c r="Q55" s="35"/>
      <c r="R55" s="35"/>
      <c r="S55" s="35"/>
      <c r="T55" s="46"/>
    </row>
    <row r="56" spans="1:20" x14ac:dyDescent="0.35">
      <c r="L56" s="35"/>
      <c r="M56" s="35"/>
      <c r="N56" s="35"/>
      <c r="O56" s="35"/>
      <c r="P56" s="35"/>
      <c r="Q56" s="35"/>
      <c r="R56" s="35"/>
      <c r="S56" s="35"/>
      <c r="T56" s="46"/>
    </row>
    <row r="57" spans="1:20" x14ac:dyDescent="0.35">
      <c r="L57" s="35"/>
      <c r="M57" s="34"/>
      <c r="N57" s="34"/>
      <c r="O57" s="34"/>
      <c r="P57" s="34"/>
      <c r="Q57" s="34"/>
      <c r="R57" s="34"/>
      <c r="S57" s="34"/>
      <c r="T57" s="46"/>
    </row>
    <row r="58" spans="1:20" x14ac:dyDescent="0.35">
      <c r="L58" s="34"/>
      <c r="M58" s="34"/>
      <c r="N58" s="34"/>
      <c r="O58" s="34"/>
      <c r="P58" s="34"/>
      <c r="Q58" s="34"/>
      <c r="R58" s="34"/>
      <c r="S58" s="34"/>
      <c r="T58" s="46"/>
    </row>
    <row r="59" spans="1:20" x14ac:dyDescent="0.35">
      <c r="L59" s="34"/>
      <c r="M59" s="46"/>
      <c r="N59" s="46"/>
      <c r="O59" s="46"/>
      <c r="P59" s="46"/>
      <c r="Q59" s="46"/>
      <c r="R59" s="46"/>
      <c r="S59" s="46"/>
      <c r="T59" s="46"/>
    </row>
    <row r="60" spans="1:20" x14ac:dyDescent="0.35">
      <c r="L60" s="46"/>
      <c r="M60" s="46"/>
      <c r="N60" s="46"/>
      <c r="O60" s="46"/>
      <c r="P60" s="46"/>
      <c r="Q60" s="46"/>
      <c r="R60" s="46"/>
      <c r="S60" s="46"/>
    </row>
    <row r="61" spans="1:20" x14ac:dyDescent="0.35">
      <c r="L61" s="46"/>
    </row>
  </sheetData>
  <dataConsolidate/>
  <mergeCells count="10">
    <mergeCell ref="E5:I5"/>
    <mergeCell ref="B12:C12"/>
    <mergeCell ref="D12:E12"/>
    <mergeCell ref="E3:G3"/>
    <mergeCell ref="E4:G4"/>
    <mergeCell ref="E6:G6"/>
    <mergeCell ref="E7:G7"/>
    <mergeCell ref="E8:G8"/>
    <mergeCell ref="E9:G9"/>
    <mergeCell ref="E10:G10"/>
  </mergeCells>
  <conditionalFormatting sqref="A14:A33 A35:A44">
    <cfRule type="expression" dxfId="23" priority="5">
      <formula>WEEKDAY(A14,2)&gt;5</formula>
    </cfRule>
  </conditionalFormatting>
  <conditionalFormatting sqref="A41:A42">
    <cfRule type="expression" dxfId="22" priority="3">
      <formula>MONTH(A42)&gt;MONTH(A$33)</formula>
    </cfRule>
    <cfRule type="expression" dxfId="21" priority="4">
      <formula>MONTH(B42)&gt;MONTH(B$33)</formula>
    </cfRule>
  </conditionalFormatting>
  <conditionalFormatting sqref="A43:A44">
    <cfRule type="expression" dxfId="20" priority="6">
      <formula>MONTH(#REF!)&gt;MONTH(A$33)</formula>
    </cfRule>
    <cfRule type="expression" dxfId="19" priority="7">
      <formula>MONTH(#REF!)&gt;MONTH(B$33)</formula>
    </cfRule>
  </conditionalFormatting>
  <conditionalFormatting sqref="A34">
    <cfRule type="expression" dxfId="18" priority="1">
      <formula>WEEKDAY(A34,2)&gt;5</formula>
    </cfRule>
  </conditionalFormatting>
  <dataValidations count="2">
    <dataValidation type="list" allowBlank="1" showInputMessage="1" showErrorMessage="1" sqref="E5" xr:uid="{BB674CC8-00E0-4708-B1E8-D104E8317C5A}">
      <formula1>"Mitarbeiter, Inhaber, Massgebende Entscheidbefugnis, Ehegatte, Gesellschafter"</formula1>
    </dataValidation>
    <dataValidation type="whole" allowBlank="1" showInputMessage="1" showErrorMessage="1" sqref="E10:G10" xr:uid="{FE1B293D-D054-4A63-9CEB-4E7A66B7002F}">
      <formula1>0</formula1>
      <formula2>12350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FBCD-89BC-40F3-9930-9126B3B0ED26}">
  <sheetPr>
    <tabColor rgb="FF92D050"/>
  </sheetPr>
  <dimension ref="A1:S62"/>
  <sheetViews>
    <sheetView workbookViewId="0">
      <selection activeCell="A5" sqref="A5:I10"/>
    </sheetView>
  </sheetViews>
  <sheetFormatPr baseColWidth="10" defaultRowHeight="14.5" x14ac:dyDescent="0.35"/>
  <cols>
    <col min="1" max="1" width="18.7265625" style="2" customWidth="1"/>
    <col min="2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26953125" customWidth="1"/>
    <col min="11" max="11" width="2.7265625" customWidth="1"/>
    <col min="19" max="19" width="2.7265625" customWidth="1"/>
  </cols>
  <sheetData>
    <row r="1" spans="1:19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19" s="2" customFormat="1" ht="14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19" s="2" customFormat="1" ht="14.25" customHeight="1" x14ac:dyDescent="0.3">
      <c r="A3" s="3" t="s">
        <v>0</v>
      </c>
      <c r="B3" s="4"/>
      <c r="C3" s="4"/>
      <c r="D3" s="4"/>
      <c r="E3" s="134" t="s">
        <v>100</v>
      </c>
      <c r="F3" s="134"/>
      <c r="G3" s="134"/>
      <c r="H3" s="4"/>
      <c r="I3" s="4"/>
      <c r="K3" s="40"/>
      <c r="L3" s="34"/>
      <c r="M3" s="34"/>
      <c r="N3" s="34"/>
      <c r="O3" s="34"/>
      <c r="P3" s="34"/>
      <c r="Q3" s="34"/>
      <c r="R3" s="34"/>
      <c r="S3" s="41"/>
    </row>
    <row r="4" spans="1:19" s="2" customFormat="1" ht="14.25" customHeight="1" x14ac:dyDescent="0.3">
      <c r="A4" s="3" t="s">
        <v>1</v>
      </c>
      <c r="B4" s="4"/>
      <c r="C4" s="4"/>
      <c r="D4" s="4"/>
      <c r="E4" s="135" t="s">
        <v>101</v>
      </c>
      <c r="F4" s="135"/>
      <c r="G4" s="135"/>
      <c r="H4" s="4"/>
      <c r="I4" s="4"/>
      <c r="K4" s="40"/>
      <c r="L4" s="34"/>
      <c r="M4" s="34"/>
      <c r="N4" s="34"/>
      <c r="O4" s="34"/>
      <c r="P4" s="34" t="s">
        <v>87</v>
      </c>
      <c r="Q4" s="34"/>
      <c r="R4" s="34"/>
      <c r="S4" s="41"/>
    </row>
    <row r="5" spans="1:19" s="2" customFormat="1" ht="14.25" customHeight="1" x14ac:dyDescent="0.3">
      <c r="A5" s="3" t="s">
        <v>18</v>
      </c>
      <c r="B5" s="4"/>
      <c r="C5" s="4"/>
      <c r="D5" s="4"/>
      <c r="E5" s="135" t="s">
        <v>19</v>
      </c>
      <c r="F5" s="135"/>
      <c r="G5" s="135"/>
      <c r="H5" s="135"/>
      <c r="I5" s="135"/>
      <c r="K5" s="40"/>
      <c r="L5" s="34"/>
      <c r="M5" s="34"/>
      <c r="N5" s="34"/>
      <c r="O5" s="34"/>
      <c r="P5" s="34" t="s">
        <v>88</v>
      </c>
      <c r="Q5" s="34"/>
      <c r="R5" s="34"/>
      <c r="S5" s="41"/>
    </row>
    <row r="6" spans="1:19" s="2" customFormat="1" ht="14.25" customHeight="1" x14ac:dyDescent="0.3">
      <c r="A6" s="3" t="s">
        <v>2</v>
      </c>
      <c r="B6" s="4"/>
      <c r="C6" s="4"/>
      <c r="D6" s="4"/>
      <c r="E6" s="135">
        <v>42</v>
      </c>
      <c r="F6" s="135"/>
      <c r="G6" s="135"/>
      <c r="H6" s="4"/>
      <c r="I6" s="4"/>
      <c r="K6" s="40"/>
      <c r="L6" s="34"/>
      <c r="M6" s="34"/>
      <c r="N6" s="34"/>
      <c r="O6" s="34"/>
      <c r="P6" s="34" t="s">
        <v>89</v>
      </c>
      <c r="Q6" s="34"/>
      <c r="R6" s="34"/>
      <c r="S6" s="41"/>
    </row>
    <row r="7" spans="1:19" s="2" customFormat="1" ht="14.25" customHeight="1" x14ac:dyDescent="0.3">
      <c r="A7" s="3" t="s">
        <v>3</v>
      </c>
      <c r="B7" s="4"/>
      <c r="C7" s="4"/>
      <c r="D7" s="4"/>
      <c r="E7" s="136">
        <v>1</v>
      </c>
      <c r="F7" s="136"/>
      <c r="G7" s="136"/>
      <c r="H7" s="4"/>
      <c r="I7" s="4"/>
      <c r="K7" s="40"/>
      <c r="L7" s="34"/>
      <c r="M7" s="34"/>
      <c r="N7" s="34"/>
      <c r="O7" s="34"/>
      <c r="P7" s="34"/>
      <c r="Q7" s="34"/>
      <c r="R7" s="34"/>
      <c r="S7" s="41"/>
    </row>
    <row r="8" spans="1:19" s="2" customFormat="1" ht="14.25" customHeight="1" x14ac:dyDescent="0.3">
      <c r="A8" s="3" t="s">
        <v>4</v>
      </c>
      <c r="B8" s="4"/>
      <c r="C8" s="4"/>
      <c r="D8" s="4"/>
      <c r="E8" s="137">
        <f>E6/24*E7</f>
        <v>1.75</v>
      </c>
      <c r="F8" s="137"/>
      <c r="G8" s="137"/>
      <c r="H8" s="4"/>
      <c r="I8" s="4"/>
      <c r="K8" s="40"/>
      <c r="L8" s="34"/>
      <c r="M8" s="34"/>
      <c r="N8" s="34"/>
      <c r="O8" s="34"/>
      <c r="P8" s="34"/>
      <c r="Q8" s="34"/>
      <c r="R8" s="34"/>
      <c r="S8" s="41"/>
    </row>
    <row r="9" spans="1:19" s="2" customFormat="1" ht="14.25" customHeight="1" x14ac:dyDescent="0.3">
      <c r="A9" s="3" t="s">
        <v>65</v>
      </c>
      <c r="B9" s="4"/>
      <c r="C9" s="4"/>
      <c r="D9" s="130"/>
      <c r="E9" s="131">
        <v>15000</v>
      </c>
      <c r="F9" s="131"/>
      <c r="G9" s="131"/>
      <c r="H9" s="4"/>
      <c r="I9" s="4"/>
      <c r="K9" s="40"/>
      <c r="L9" s="34"/>
      <c r="M9" s="34"/>
      <c r="N9" s="34"/>
      <c r="O9" s="34"/>
      <c r="P9" s="34"/>
      <c r="Q9" s="34"/>
      <c r="R9" s="34"/>
      <c r="S9" s="41"/>
    </row>
    <row r="10" spans="1:19" s="2" customFormat="1" ht="14.25" customHeight="1" x14ac:dyDescent="0.3">
      <c r="A10" s="3" t="s">
        <v>20</v>
      </c>
      <c r="B10" s="4"/>
      <c r="C10" s="4"/>
      <c r="D10" s="130"/>
      <c r="E10" s="131">
        <f>IF(E5="Mitarbeiter",IF(E9&lt;12350,E9,12350),IF(E5="Ehegatte",IF(E9&lt;4150,E9,4150),IF(E5="Inhaber",IF(E9&lt;4150,E9,4150),IF(E5="Gesellschafter",IF(E9&lt;4150,E9,4150),IF(E5="Massgebende Entscheidbefugnis",IF(E9&lt;4150,E9,4150))))))</f>
        <v>12350</v>
      </c>
      <c r="F10" s="131"/>
      <c r="G10" s="131"/>
      <c r="H10" s="4"/>
      <c r="I10" s="4"/>
      <c r="K10" s="40"/>
      <c r="L10" s="34"/>
      <c r="M10" s="34"/>
      <c r="N10" s="34"/>
      <c r="O10" s="34"/>
      <c r="P10" s="34"/>
      <c r="Q10" s="34"/>
      <c r="R10" s="34"/>
      <c r="S10" s="41"/>
    </row>
    <row r="11" spans="1:19" s="2" customFormat="1" ht="14.25" customHeight="1" thickBot="1" x14ac:dyDescent="0.35">
      <c r="K11" s="40"/>
      <c r="L11" s="34" t="s">
        <v>76</v>
      </c>
      <c r="M11" s="34"/>
      <c r="N11" s="34"/>
      <c r="O11" s="34"/>
      <c r="P11" s="34"/>
      <c r="Q11" s="34"/>
      <c r="R11" s="34"/>
      <c r="S11" s="41"/>
    </row>
    <row r="12" spans="1:19" s="2" customFormat="1" ht="14.25" customHeigh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Erika Beispiel</v>
      </c>
      <c r="M12" s="34"/>
      <c r="N12" s="34"/>
      <c r="O12" s="34"/>
      <c r="P12" s="34"/>
      <c r="Q12" s="34"/>
      <c r="R12" s="34"/>
      <c r="S12" s="41"/>
    </row>
    <row r="13" spans="1:19" s="2" customFormat="1" ht="14.25" customHeight="1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102</v>
      </c>
      <c r="M13" s="34"/>
      <c r="N13" s="34"/>
      <c r="O13" s="34"/>
      <c r="P13" s="34"/>
      <c r="Q13" s="34"/>
      <c r="R13" s="34"/>
      <c r="S13" s="41"/>
    </row>
    <row r="14" spans="1:19" s="2" customFormat="1" ht="14.25" customHeight="1" x14ac:dyDescent="0.3">
      <c r="A14" s="12">
        <v>43952</v>
      </c>
      <c r="B14" s="118">
        <v>0.31597222222222221</v>
      </c>
      <c r="C14" s="119">
        <v>0.46875</v>
      </c>
      <c r="D14" s="120"/>
      <c r="E14" s="118"/>
      <c r="F14" s="16"/>
      <c r="G14" s="17">
        <f>IF(B14="Ferien",I14,C14-B14+E14-D14)</f>
        <v>0.15277777777777779</v>
      </c>
      <c r="H14" s="18"/>
      <c r="I14" s="17">
        <f>$E$8/5</f>
        <v>0.35</v>
      </c>
      <c r="K14" s="40"/>
      <c r="L14" s="34" t="s">
        <v>103</v>
      </c>
      <c r="M14" s="34"/>
      <c r="N14" s="34"/>
      <c r="O14" s="34"/>
      <c r="P14" s="34"/>
      <c r="Q14" s="34"/>
      <c r="R14" s="34"/>
      <c r="S14" s="41"/>
    </row>
    <row r="15" spans="1:19" s="2" customFormat="1" ht="14.25" customHeight="1" x14ac:dyDescent="0.3">
      <c r="A15" s="12">
        <f>A14+1</f>
        <v>43953</v>
      </c>
      <c r="B15" s="118"/>
      <c r="C15" s="119"/>
      <c r="D15" s="120"/>
      <c r="E15" s="118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</row>
    <row r="16" spans="1:19" s="2" customFormat="1" ht="14.25" customHeight="1" x14ac:dyDescent="0.3">
      <c r="A16" s="12">
        <f t="shared" ref="A16:A44" si="0">A15+1</f>
        <v>43954</v>
      </c>
      <c r="B16" s="118"/>
      <c r="C16" s="119"/>
      <c r="D16" s="121"/>
      <c r="E16" s="122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</row>
    <row r="17" spans="1:19" s="2" customFormat="1" ht="14.25" customHeight="1" x14ac:dyDescent="0.3">
      <c r="A17" s="12">
        <f>A16+1</f>
        <v>43955</v>
      </c>
      <c r="B17" s="118">
        <v>0.30902777777777779</v>
      </c>
      <c r="C17" s="119">
        <v>0.5</v>
      </c>
      <c r="D17" s="121"/>
      <c r="E17" s="122"/>
      <c r="F17" s="19"/>
      <c r="G17" s="17">
        <f t="shared" ref="G17:G42" si="1">IF(B17="Ferien",I17,C17-B17+E17-D17)</f>
        <v>0.19097222222222221</v>
      </c>
      <c r="H17" s="20"/>
      <c r="I17" s="17">
        <f t="shared" ref="I17:I42" si="2">$E$8/5</f>
        <v>0.35</v>
      </c>
      <c r="K17" s="40"/>
      <c r="L17" s="47" t="s">
        <v>33</v>
      </c>
      <c r="M17" s="48"/>
      <c r="N17" s="49" t="s">
        <v>66</v>
      </c>
      <c r="O17" s="34"/>
      <c r="P17" s="34" t="s">
        <v>67</v>
      </c>
      <c r="Q17" s="106">
        <v>43972</v>
      </c>
      <c r="R17" s="34"/>
      <c r="S17" s="41"/>
    </row>
    <row r="18" spans="1:19" s="2" customFormat="1" ht="14.25" customHeight="1" x14ac:dyDescent="0.3">
      <c r="A18" s="12">
        <f t="shared" si="0"/>
        <v>43956</v>
      </c>
      <c r="B18" s="118">
        <v>0.33333333333333331</v>
      </c>
      <c r="C18" s="119">
        <v>0.5</v>
      </c>
      <c r="D18" s="120">
        <v>0.55208333333333337</v>
      </c>
      <c r="E18" s="118">
        <v>0.66666666666666663</v>
      </c>
      <c r="F18" s="19"/>
      <c r="G18" s="17">
        <f t="shared" si="1"/>
        <v>0.28124999999999989</v>
      </c>
      <c r="H18" s="20"/>
      <c r="I18" s="17">
        <f t="shared" si="2"/>
        <v>0.35</v>
      </c>
      <c r="K18" s="40"/>
      <c r="L18" s="34"/>
      <c r="M18" s="34"/>
      <c r="N18" s="34"/>
      <c r="O18" s="34"/>
      <c r="P18" s="34"/>
      <c r="Q18" s="34"/>
      <c r="R18" s="34"/>
      <c r="S18" s="41"/>
    </row>
    <row r="19" spans="1:19" s="2" customFormat="1" ht="14.25" customHeight="1" x14ac:dyDescent="0.3">
      <c r="A19" s="12">
        <f t="shared" si="0"/>
        <v>43957</v>
      </c>
      <c r="B19" s="118">
        <v>0.30208333333333331</v>
      </c>
      <c r="C19" s="119">
        <v>0.41666666666666669</v>
      </c>
      <c r="D19" s="120">
        <v>0.55208333333333337</v>
      </c>
      <c r="E19" s="118">
        <v>0.70833333333333337</v>
      </c>
      <c r="F19" s="19"/>
      <c r="G19" s="17">
        <f t="shared" si="1"/>
        <v>0.27083333333333337</v>
      </c>
      <c r="H19" s="20"/>
      <c r="I19" s="17">
        <f t="shared" si="2"/>
        <v>0.35</v>
      </c>
      <c r="K19" s="40"/>
      <c r="L19" s="34"/>
      <c r="M19" s="34"/>
      <c r="N19" s="34"/>
      <c r="O19" s="34"/>
      <c r="P19" s="34"/>
      <c r="Q19" s="34"/>
      <c r="R19" s="34"/>
      <c r="S19" s="41"/>
    </row>
    <row r="20" spans="1:19" s="2" customFormat="1" ht="14.25" customHeight="1" x14ac:dyDescent="0.3">
      <c r="A20" s="12">
        <f t="shared" si="0"/>
        <v>43958</v>
      </c>
      <c r="B20" s="118">
        <v>0.28819444444444448</v>
      </c>
      <c r="C20" s="119">
        <v>0.5</v>
      </c>
      <c r="D20" s="120">
        <v>0.5625</v>
      </c>
      <c r="E20" s="118">
        <v>0.70833333333333337</v>
      </c>
      <c r="F20" s="19"/>
      <c r="G20" s="17">
        <f t="shared" si="1"/>
        <v>0.35763888888888884</v>
      </c>
      <c r="H20" s="20"/>
      <c r="I20" s="17">
        <f t="shared" si="2"/>
        <v>0.35</v>
      </c>
      <c r="K20" s="40"/>
      <c r="L20" s="34" t="s">
        <v>34</v>
      </c>
      <c r="M20" s="34"/>
      <c r="O20" s="59" t="s">
        <v>22</v>
      </c>
      <c r="P20" s="59" t="s">
        <v>35</v>
      </c>
      <c r="Q20" s="59"/>
      <c r="R20" s="59" t="s">
        <v>36</v>
      </c>
      <c r="S20" s="41"/>
    </row>
    <row r="21" spans="1:19" s="2" customFormat="1" ht="14.25" customHeight="1" x14ac:dyDescent="0.3">
      <c r="A21" s="12">
        <f t="shared" si="0"/>
        <v>43959</v>
      </c>
      <c r="B21" s="118">
        <v>0.32291666666666669</v>
      </c>
      <c r="C21" s="119">
        <v>0.5</v>
      </c>
      <c r="D21" s="120"/>
      <c r="E21" s="118"/>
      <c r="F21" s="19"/>
      <c r="G21" s="17">
        <f t="shared" si="1"/>
        <v>0.17708333333333331</v>
      </c>
      <c r="H21" s="20"/>
      <c r="I21" s="17">
        <f t="shared" si="2"/>
        <v>0.35</v>
      </c>
      <c r="K21" s="40"/>
      <c r="L21" s="35"/>
      <c r="M21" s="35"/>
      <c r="N21" s="60"/>
      <c r="O21" s="60"/>
      <c r="P21" s="60"/>
      <c r="Q21" s="60"/>
      <c r="R21" s="60"/>
      <c r="S21" s="42"/>
    </row>
    <row r="22" spans="1:19" s="2" customFormat="1" ht="14.25" customHeight="1" x14ac:dyDescent="0.3">
      <c r="A22" s="12">
        <f t="shared" si="0"/>
        <v>43960</v>
      </c>
      <c r="B22" s="118"/>
      <c r="C22" s="119"/>
      <c r="D22" s="120"/>
      <c r="E22" s="118"/>
      <c r="F22" s="19"/>
      <c r="G22" s="17"/>
      <c r="H22" s="20"/>
      <c r="I22" s="17"/>
      <c r="K22" s="40"/>
      <c r="L22" s="33" t="s">
        <v>37</v>
      </c>
      <c r="M22" s="33"/>
      <c r="N22" s="69"/>
      <c r="O22" s="69">
        <f>ROUND((R22/P22)*2,1)/2</f>
        <v>15000</v>
      </c>
      <c r="P22" s="104">
        <f>E7</f>
        <v>1</v>
      </c>
      <c r="Q22" s="69"/>
      <c r="R22" s="69">
        <f>E9</f>
        <v>15000</v>
      </c>
      <c r="S22" s="42"/>
    </row>
    <row r="23" spans="1:19" s="2" customFormat="1" ht="14.25" customHeight="1" x14ac:dyDescent="0.3">
      <c r="A23" s="12">
        <f t="shared" si="0"/>
        <v>43961</v>
      </c>
      <c r="B23" s="118"/>
      <c r="C23" s="119"/>
      <c r="D23" s="120"/>
      <c r="E23" s="118"/>
      <c r="F23" s="19"/>
      <c r="G23" s="17"/>
      <c r="H23" s="20"/>
      <c r="I23" s="17"/>
      <c r="K23" s="40"/>
      <c r="L23" s="36" t="s">
        <v>38</v>
      </c>
      <c r="M23" s="36"/>
      <c r="N23" s="70"/>
      <c r="O23" s="70"/>
      <c r="P23" s="70"/>
      <c r="Q23" s="70"/>
      <c r="R23" s="70">
        <f>R22</f>
        <v>15000</v>
      </c>
      <c r="S23" s="42"/>
    </row>
    <row r="24" spans="1:19" s="2" customFormat="1" ht="14.25" customHeight="1" x14ac:dyDescent="0.3">
      <c r="A24" s="12">
        <f t="shared" si="0"/>
        <v>43962</v>
      </c>
      <c r="B24" s="118">
        <v>0.30902777777777779</v>
      </c>
      <c r="C24" s="119">
        <v>0.5</v>
      </c>
      <c r="D24" s="121"/>
      <c r="E24" s="122"/>
      <c r="F24" s="19"/>
      <c r="G24" s="17">
        <f t="shared" si="1"/>
        <v>0.19097222222222221</v>
      </c>
      <c r="H24" s="20"/>
      <c r="I24" s="17">
        <f t="shared" si="2"/>
        <v>0.35</v>
      </c>
      <c r="K24" s="40"/>
      <c r="L24" s="35" t="s">
        <v>75</v>
      </c>
      <c r="M24" s="35"/>
      <c r="N24" s="60"/>
      <c r="O24" s="60">
        <v>0</v>
      </c>
      <c r="P24" s="60">
        <v>230</v>
      </c>
      <c r="Q24" s="60"/>
      <c r="R24" s="60">
        <f>O24*P24</f>
        <v>0</v>
      </c>
      <c r="S24" s="42"/>
    </row>
    <row r="25" spans="1:19" s="2" customFormat="1" ht="14.25" customHeight="1" x14ac:dyDescent="0.3">
      <c r="A25" s="12">
        <f t="shared" si="0"/>
        <v>43963</v>
      </c>
      <c r="B25" s="118">
        <v>0.33333333333333331</v>
      </c>
      <c r="C25" s="119">
        <v>0.5</v>
      </c>
      <c r="D25" s="120">
        <v>0.55208333333333337</v>
      </c>
      <c r="E25" s="118">
        <v>0.66666666666666663</v>
      </c>
      <c r="F25" s="19"/>
      <c r="G25" s="17">
        <f t="shared" si="1"/>
        <v>0.28124999999999989</v>
      </c>
      <c r="H25" s="20"/>
      <c r="I25" s="17">
        <f t="shared" si="2"/>
        <v>0.35</v>
      </c>
      <c r="K25" s="40"/>
      <c r="L25" s="35"/>
      <c r="M25" s="35"/>
      <c r="N25" s="60"/>
      <c r="O25" s="60"/>
      <c r="P25" s="60"/>
      <c r="Q25" s="60"/>
      <c r="R25" s="60"/>
      <c r="S25" s="43"/>
    </row>
    <row r="26" spans="1:19" s="2" customFormat="1" ht="14.25" customHeight="1" x14ac:dyDescent="0.3">
      <c r="A26" s="12">
        <f t="shared" si="0"/>
        <v>43964</v>
      </c>
      <c r="B26" s="118">
        <v>0.30208333333333331</v>
      </c>
      <c r="C26" s="119">
        <v>0.41666666666666669</v>
      </c>
      <c r="D26" s="120">
        <v>0.55208333333333337</v>
      </c>
      <c r="E26" s="118">
        <v>0.70833333333333337</v>
      </c>
      <c r="F26" s="19"/>
      <c r="G26" s="17">
        <f t="shared" si="1"/>
        <v>0.27083333333333337</v>
      </c>
      <c r="H26" s="20"/>
      <c r="I26" s="17">
        <f t="shared" si="2"/>
        <v>0.35</v>
      </c>
      <c r="K26" s="40"/>
      <c r="L26" s="35" t="s">
        <v>39</v>
      </c>
      <c r="M26" s="35"/>
      <c r="N26" s="60"/>
      <c r="O26" s="60">
        <f>$R$22</f>
        <v>15000</v>
      </c>
      <c r="P26" s="71">
        <v>5.2749999999999998E-2</v>
      </c>
      <c r="Q26" s="60"/>
      <c r="R26" s="60">
        <f>ROUND((O26*P26)*2,1)/2</f>
        <v>791.25</v>
      </c>
      <c r="S26" s="43"/>
    </row>
    <row r="27" spans="1:19" s="2" customFormat="1" ht="14.25" customHeight="1" x14ac:dyDescent="0.3">
      <c r="A27" s="12">
        <f t="shared" si="0"/>
        <v>43965</v>
      </c>
      <c r="B27" s="118">
        <v>0.28819444444444448</v>
      </c>
      <c r="C27" s="119">
        <v>0.5</v>
      </c>
      <c r="D27" s="120">
        <v>0.5625</v>
      </c>
      <c r="E27" s="118">
        <v>0.70833333333333337</v>
      </c>
      <c r="F27" s="19"/>
      <c r="G27" s="17">
        <f t="shared" si="1"/>
        <v>0.35763888888888884</v>
      </c>
      <c r="H27" s="20"/>
      <c r="I27" s="17">
        <f t="shared" si="2"/>
        <v>0.35</v>
      </c>
      <c r="K27" s="40"/>
      <c r="L27" s="35" t="s">
        <v>40</v>
      </c>
      <c r="M27" s="35"/>
      <c r="N27" s="60"/>
      <c r="O27" s="60">
        <f>$R$22</f>
        <v>15000</v>
      </c>
      <c r="P27" s="71">
        <v>1.0999999999999999E-2</v>
      </c>
      <c r="Q27" s="60"/>
      <c r="R27" s="60">
        <f t="shared" ref="R27:R29" si="3">ROUND((O27*P27)*2,1)/2</f>
        <v>165</v>
      </c>
      <c r="S27" s="43"/>
    </row>
    <row r="28" spans="1:19" s="2" customFormat="1" ht="14.25" customHeight="1" x14ac:dyDescent="0.3">
      <c r="A28" s="12">
        <f t="shared" si="0"/>
        <v>43966</v>
      </c>
      <c r="B28" s="118">
        <v>0.32291666666666669</v>
      </c>
      <c r="C28" s="119">
        <v>0.5</v>
      </c>
      <c r="D28" s="120"/>
      <c r="E28" s="118"/>
      <c r="F28" s="19"/>
      <c r="G28" s="17">
        <f t="shared" si="1"/>
        <v>0.17708333333333331</v>
      </c>
      <c r="H28" s="20"/>
      <c r="I28" s="17">
        <f t="shared" si="2"/>
        <v>0.35</v>
      </c>
      <c r="K28" s="40"/>
      <c r="L28" s="35" t="s">
        <v>41</v>
      </c>
      <c r="M28" s="35"/>
      <c r="N28" s="60"/>
      <c r="O28" s="60">
        <v>0</v>
      </c>
      <c r="P28" s="71">
        <v>9.3500000000000007E-3</v>
      </c>
      <c r="Q28" s="60"/>
      <c r="R28" s="60">
        <f t="shared" si="3"/>
        <v>0</v>
      </c>
      <c r="S28" s="42"/>
    </row>
    <row r="29" spans="1:19" s="2" customFormat="1" ht="14.25" customHeight="1" x14ac:dyDescent="0.3">
      <c r="A29" s="12">
        <f t="shared" si="0"/>
        <v>43967</v>
      </c>
      <c r="B29" s="118"/>
      <c r="C29" s="119"/>
      <c r="D29" s="120"/>
      <c r="E29" s="118"/>
      <c r="F29" s="19"/>
      <c r="G29" s="17"/>
      <c r="H29" s="20"/>
      <c r="I29" s="17"/>
      <c r="K29" s="40"/>
      <c r="L29" s="35" t="s">
        <v>42</v>
      </c>
      <c r="M29" s="35"/>
      <c r="N29" s="60"/>
      <c r="O29" s="60">
        <f t="shared" ref="O29" si="4">$R$22</f>
        <v>15000</v>
      </c>
      <c r="P29" s="71">
        <v>7.9399999999999991E-3</v>
      </c>
      <c r="Q29" s="60"/>
      <c r="R29" s="60">
        <f t="shared" si="3"/>
        <v>119.1</v>
      </c>
      <c r="S29" s="42"/>
    </row>
    <row r="30" spans="1:19" s="2" customFormat="1" ht="14.25" customHeight="1" x14ac:dyDescent="0.3">
      <c r="A30" s="12">
        <f t="shared" si="0"/>
        <v>43968</v>
      </c>
      <c r="B30" s="118"/>
      <c r="C30" s="119"/>
      <c r="D30" s="120"/>
      <c r="E30" s="118"/>
      <c r="F30" s="19"/>
      <c r="G30" s="17"/>
      <c r="H30" s="20"/>
      <c r="I30" s="17"/>
      <c r="K30" s="40"/>
      <c r="L30" s="33" t="s">
        <v>43</v>
      </c>
      <c r="M30" s="33"/>
      <c r="N30" s="69"/>
      <c r="O30" s="69"/>
      <c r="P30" s="69"/>
      <c r="Q30" s="69"/>
      <c r="R30" s="69">
        <v>1000</v>
      </c>
      <c r="S30" s="42"/>
    </row>
    <row r="31" spans="1:19" s="2" customFormat="1" ht="14.25" customHeight="1" x14ac:dyDescent="0.3">
      <c r="A31" s="12">
        <f t="shared" si="0"/>
        <v>43969</v>
      </c>
      <c r="B31" s="118" t="s">
        <v>110</v>
      </c>
      <c r="C31" s="119"/>
      <c r="D31" s="121"/>
      <c r="E31" s="122"/>
      <c r="F31" s="19"/>
      <c r="G31" s="17">
        <f t="shared" si="1"/>
        <v>0.35</v>
      </c>
      <c r="H31" s="20"/>
      <c r="I31" s="17">
        <f t="shared" si="2"/>
        <v>0.35</v>
      </c>
      <c r="K31" s="40"/>
      <c r="L31" s="36" t="s">
        <v>44</v>
      </c>
      <c r="M31" s="36"/>
      <c r="N31" s="70"/>
      <c r="O31" s="70"/>
      <c r="P31" s="70"/>
      <c r="Q31" s="70"/>
      <c r="R31" s="70">
        <f>R23-SUM(R26:R30)</f>
        <v>12924.65</v>
      </c>
      <c r="S31" s="42"/>
    </row>
    <row r="32" spans="1:19" s="2" customFormat="1" ht="14.25" customHeight="1" x14ac:dyDescent="0.3">
      <c r="A32" s="12">
        <f t="shared" si="0"/>
        <v>43970</v>
      </c>
      <c r="B32" s="118" t="s">
        <v>110</v>
      </c>
      <c r="C32" s="119"/>
      <c r="D32" s="120"/>
      <c r="E32" s="118"/>
      <c r="F32" s="19"/>
      <c r="G32" s="17">
        <f t="shared" si="1"/>
        <v>0.35</v>
      </c>
      <c r="H32" s="20"/>
      <c r="I32" s="17">
        <f t="shared" si="2"/>
        <v>0.35</v>
      </c>
      <c r="K32" s="40"/>
      <c r="L32" s="36"/>
      <c r="M32" s="36"/>
      <c r="N32" s="70"/>
      <c r="O32" s="70"/>
      <c r="P32" s="70"/>
      <c r="Q32" s="70"/>
      <c r="R32" s="70"/>
      <c r="S32" s="42"/>
    </row>
    <row r="33" spans="1:19" s="2" customFormat="1" ht="14.25" customHeight="1" x14ac:dyDescent="0.3">
      <c r="A33" s="12">
        <f t="shared" si="0"/>
        <v>43971</v>
      </c>
      <c r="B33" s="118" t="s">
        <v>110</v>
      </c>
      <c r="C33" s="119"/>
      <c r="D33" s="120"/>
      <c r="E33" s="118"/>
      <c r="F33" s="19"/>
      <c r="G33" s="17">
        <f t="shared" si="1"/>
        <v>0.35</v>
      </c>
      <c r="H33" s="20"/>
      <c r="I33" s="17">
        <f t="shared" si="2"/>
        <v>0.35</v>
      </c>
      <c r="K33" s="40"/>
      <c r="L33" s="36" t="s">
        <v>73</v>
      </c>
      <c r="M33" s="36"/>
      <c r="N33" s="70"/>
      <c r="O33" s="70"/>
      <c r="P33" s="70"/>
      <c r="Q33" s="70"/>
      <c r="R33" s="70"/>
      <c r="S33" s="42"/>
    </row>
    <row r="34" spans="1:19" s="2" customFormat="1" ht="14.25" customHeight="1" x14ac:dyDescent="0.3">
      <c r="A34" s="108">
        <f t="shared" si="0"/>
        <v>43972</v>
      </c>
      <c r="B34" s="112"/>
      <c r="C34" s="123"/>
      <c r="D34" s="111"/>
      <c r="E34" s="112"/>
      <c r="F34" s="19"/>
      <c r="G34" s="113">
        <f t="shared" si="1"/>
        <v>0</v>
      </c>
      <c r="H34" s="20"/>
      <c r="I34" s="113">
        <v>0</v>
      </c>
      <c r="K34" s="40"/>
      <c r="L34" s="35" t="s">
        <v>69</v>
      </c>
      <c r="M34" s="35"/>
      <c r="O34" s="60">
        <f>R23</f>
        <v>15000</v>
      </c>
      <c r="P34" s="107">
        <v>0.31</v>
      </c>
      <c r="Q34" s="60"/>
      <c r="R34" s="60">
        <f>ROUND(P34*O34*2,1)/2*-1</f>
        <v>-4650</v>
      </c>
      <c r="S34" s="43"/>
    </row>
    <row r="35" spans="1:19" s="2" customFormat="1" ht="14.25" customHeight="1" x14ac:dyDescent="0.3">
      <c r="A35" s="12">
        <f t="shared" si="0"/>
        <v>43973</v>
      </c>
      <c r="B35" s="118" t="s">
        <v>111</v>
      </c>
      <c r="C35" s="119"/>
      <c r="D35" s="120"/>
      <c r="E35" s="118"/>
      <c r="F35" s="19"/>
      <c r="G35" s="17">
        <v>0.35000000000000003</v>
      </c>
      <c r="H35" s="20"/>
      <c r="I35" s="17">
        <f t="shared" si="2"/>
        <v>0.35</v>
      </c>
      <c r="K35" s="40"/>
      <c r="L35" s="33" t="str">
        <f>IF(E10=4150,"Entschädigung (80% von CHF 4'125)",IF(O34&gt;12350,"Entschädigung (80% von CHF 12'350)","Entschädigung (80%)"))</f>
        <v>Entschädigung (80% von CHF 12'350)</v>
      </c>
      <c r="M35" s="33"/>
      <c r="N35" s="69"/>
      <c r="O35" s="69"/>
      <c r="P35" s="69"/>
      <c r="Q35" s="69"/>
      <c r="R35" s="69">
        <f>IF(E10=4150,E10*P34*0.8,IF(E10&gt;12345,E10*P34*0.8,R34*0.8*-1))</f>
        <v>3062.8</v>
      </c>
      <c r="S35" s="42"/>
    </row>
    <row r="36" spans="1:19" s="2" customFormat="1" ht="14.25" customHeight="1" x14ac:dyDescent="0.3">
      <c r="A36" s="12">
        <f t="shared" si="0"/>
        <v>43974</v>
      </c>
      <c r="B36" s="118"/>
      <c r="C36" s="119"/>
      <c r="D36" s="120"/>
      <c r="E36" s="118"/>
      <c r="F36" s="19"/>
      <c r="G36" s="17"/>
      <c r="H36" s="20"/>
      <c r="I36" s="17"/>
      <c r="K36" s="40"/>
      <c r="L36" s="33" t="s">
        <v>74</v>
      </c>
      <c r="M36" s="33"/>
      <c r="N36" s="69"/>
      <c r="O36" s="69"/>
      <c r="P36" s="69"/>
      <c r="Q36" s="69"/>
      <c r="R36" s="69">
        <f>R34+R35</f>
        <v>-1587.1999999999998</v>
      </c>
      <c r="S36" s="42"/>
    </row>
    <row r="37" spans="1:19" s="2" customFormat="1" ht="14.25" customHeight="1" x14ac:dyDescent="0.3">
      <c r="A37" s="12">
        <f t="shared" si="0"/>
        <v>43975</v>
      </c>
      <c r="B37" s="118"/>
      <c r="C37" s="119"/>
      <c r="D37" s="120"/>
      <c r="E37" s="118"/>
      <c r="F37" s="19"/>
      <c r="G37" s="17"/>
      <c r="H37" s="20"/>
      <c r="I37" s="17"/>
      <c r="K37" s="40"/>
      <c r="L37" s="103" t="s">
        <v>70</v>
      </c>
      <c r="M37" s="103"/>
      <c r="N37" s="105"/>
      <c r="O37" s="105"/>
      <c r="P37" s="105"/>
      <c r="Q37" s="105"/>
      <c r="R37" s="105">
        <f>R31+R36</f>
        <v>11337.45</v>
      </c>
      <c r="S37" s="42"/>
    </row>
    <row r="38" spans="1:19" s="2" customFormat="1" ht="14.25" customHeight="1" x14ac:dyDescent="0.3">
      <c r="A38" s="12">
        <f t="shared" si="0"/>
        <v>43976</v>
      </c>
      <c r="B38" s="118">
        <v>0.30902777777777779</v>
      </c>
      <c r="C38" s="119">
        <v>0.5</v>
      </c>
      <c r="D38" s="120">
        <v>0.55208333333333337</v>
      </c>
      <c r="E38" s="118">
        <v>0.70833333333333337</v>
      </c>
      <c r="F38" s="19"/>
      <c r="G38" s="17">
        <f t="shared" si="1"/>
        <v>0.34722222222222221</v>
      </c>
      <c r="H38" s="20"/>
      <c r="I38" s="17">
        <f t="shared" si="2"/>
        <v>0.35</v>
      </c>
      <c r="K38" s="40"/>
      <c r="L38" s="36"/>
      <c r="M38" s="36"/>
      <c r="N38" s="70"/>
      <c r="O38" s="70"/>
      <c r="P38" s="70"/>
      <c r="Q38" s="70"/>
      <c r="R38" s="70"/>
      <c r="S38" s="42"/>
    </row>
    <row r="39" spans="1:19" s="2" customFormat="1" ht="14.25" customHeight="1" x14ac:dyDescent="0.3">
      <c r="A39" s="12">
        <f t="shared" si="0"/>
        <v>43977</v>
      </c>
      <c r="B39" s="118">
        <v>0.33333333333333331</v>
      </c>
      <c r="C39" s="119">
        <v>0.5</v>
      </c>
      <c r="D39" s="120">
        <v>0.55208333333333337</v>
      </c>
      <c r="E39" s="118">
        <v>0.66666666666666663</v>
      </c>
      <c r="F39" s="19"/>
      <c r="G39" s="17">
        <f t="shared" si="1"/>
        <v>0.28124999999999989</v>
      </c>
      <c r="H39" s="20"/>
      <c r="I39" s="17">
        <f t="shared" si="2"/>
        <v>0.35</v>
      </c>
      <c r="K39" s="40"/>
      <c r="L39" s="36" t="s">
        <v>68</v>
      </c>
      <c r="M39" s="35"/>
      <c r="N39" s="35"/>
      <c r="O39" s="35"/>
      <c r="P39" s="35"/>
      <c r="Q39" s="35"/>
      <c r="R39" s="35"/>
      <c r="S39" s="42"/>
    </row>
    <row r="40" spans="1:19" s="2" customFormat="1" ht="14.25" customHeight="1" x14ac:dyDescent="0.3">
      <c r="A40" s="12">
        <f t="shared" si="0"/>
        <v>43978</v>
      </c>
      <c r="B40" s="118">
        <v>0.30208333333333331</v>
      </c>
      <c r="C40" s="119">
        <v>0.41666666666666669</v>
      </c>
      <c r="D40" s="120">
        <v>0.55208333333333337</v>
      </c>
      <c r="E40" s="118">
        <v>0.70833333333333337</v>
      </c>
      <c r="F40" s="19"/>
      <c r="G40" s="17">
        <f t="shared" si="1"/>
        <v>0.27083333333333337</v>
      </c>
      <c r="H40" s="20"/>
      <c r="I40" s="17">
        <f t="shared" si="2"/>
        <v>0.35</v>
      </c>
      <c r="K40" s="40"/>
      <c r="L40" s="35" t="s">
        <v>91</v>
      </c>
      <c r="M40" s="35"/>
      <c r="N40" s="35"/>
      <c r="O40" s="35"/>
      <c r="P40" s="35"/>
      <c r="Q40" s="35"/>
      <c r="R40" s="35"/>
      <c r="S40" s="42"/>
    </row>
    <row r="41" spans="1:19" s="2" customFormat="1" ht="14.25" customHeight="1" x14ac:dyDescent="0.3">
      <c r="A41" s="12">
        <f t="shared" si="0"/>
        <v>43979</v>
      </c>
      <c r="B41" s="118">
        <v>0.28819444444444448</v>
      </c>
      <c r="C41" s="119">
        <v>0.5</v>
      </c>
      <c r="D41" s="120">
        <v>0.5625</v>
      </c>
      <c r="E41" s="118">
        <v>0.70833333333333337</v>
      </c>
      <c r="F41" s="19"/>
      <c r="G41" s="17">
        <f t="shared" si="1"/>
        <v>0.35763888888888884</v>
      </c>
      <c r="H41" s="20"/>
      <c r="I41" s="17">
        <f t="shared" si="2"/>
        <v>0.35</v>
      </c>
      <c r="K41" s="40"/>
      <c r="L41" s="35" t="s">
        <v>92</v>
      </c>
      <c r="M41" s="35"/>
      <c r="N41" s="35"/>
      <c r="O41" s="35"/>
      <c r="P41" s="35"/>
      <c r="Q41" s="35"/>
      <c r="R41" s="35"/>
      <c r="S41" s="42"/>
    </row>
    <row r="42" spans="1:19" s="2" customFormat="1" ht="14.25" customHeight="1" x14ac:dyDescent="0.3">
      <c r="A42" s="12">
        <f t="shared" si="0"/>
        <v>43980</v>
      </c>
      <c r="B42" s="118">
        <v>0.32291666666666669</v>
      </c>
      <c r="C42" s="119">
        <v>0.5</v>
      </c>
      <c r="D42" s="120"/>
      <c r="E42" s="118"/>
      <c r="F42" s="19"/>
      <c r="G42" s="17">
        <f t="shared" si="1"/>
        <v>0.17708333333333331</v>
      </c>
      <c r="H42" s="20"/>
      <c r="I42" s="17">
        <f t="shared" si="2"/>
        <v>0.35</v>
      </c>
      <c r="K42" s="40"/>
      <c r="L42" s="35"/>
      <c r="M42" s="35"/>
      <c r="N42" s="35"/>
      <c r="O42" s="35"/>
      <c r="P42" s="35"/>
      <c r="Q42" s="35"/>
      <c r="R42" s="35"/>
      <c r="S42" s="42"/>
    </row>
    <row r="43" spans="1:19" s="2" customFormat="1" ht="14.25" customHeight="1" x14ac:dyDescent="0.3">
      <c r="A43" s="12">
        <f t="shared" si="0"/>
        <v>43981</v>
      </c>
      <c r="B43" s="21"/>
      <c r="C43" s="22"/>
      <c r="D43" s="23"/>
      <c r="E43" s="21"/>
      <c r="F43" s="19"/>
      <c r="G43" s="17"/>
      <c r="H43" s="20"/>
      <c r="I43" s="17"/>
      <c r="K43" s="40"/>
      <c r="M43" s="35"/>
      <c r="N43" s="35"/>
      <c r="O43" s="35"/>
      <c r="P43" s="35"/>
      <c r="Q43" s="35"/>
      <c r="R43" s="35"/>
      <c r="S43" s="42"/>
    </row>
    <row r="44" spans="1:19" s="2" customFormat="1" ht="14.25" customHeight="1" x14ac:dyDescent="0.3">
      <c r="A44" s="12">
        <f t="shared" si="0"/>
        <v>43982</v>
      </c>
      <c r="B44" s="21"/>
      <c r="C44" s="21"/>
      <c r="D44" s="23"/>
      <c r="E44" s="21"/>
      <c r="F44" s="19"/>
      <c r="G44" s="17"/>
      <c r="H44" s="20"/>
      <c r="I44" s="17"/>
      <c r="K44" s="40"/>
      <c r="L44" s="36" t="s">
        <v>45</v>
      </c>
      <c r="M44" s="35"/>
      <c r="N44" s="35"/>
      <c r="O44" s="35"/>
      <c r="P44" s="35"/>
      <c r="Q44" s="35"/>
      <c r="R44" s="35"/>
      <c r="S44" s="42"/>
    </row>
    <row r="45" spans="1:19" s="2" customFormat="1" ht="14.25" customHeight="1" x14ac:dyDescent="0.3">
      <c r="K45" s="40"/>
      <c r="L45" s="35" t="s">
        <v>46</v>
      </c>
      <c r="M45" s="35"/>
      <c r="N45" s="35"/>
      <c r="O45" s="35"/>
      <c r="P45" s="35"/>
      <c r="Q45" s="35"/>
      <c r="R45" s="35"/>
      <c r="S45" s="42"/>
    </row>
    <row r="46" spans="1:19" s="2" customFormat="1" ht="14.25" customHeight="1" x14ac:dyDescent="0.3">
      <c r="A46" s="2" t="s">
        <v>13</v>
      </c>
      <c r="C46" s="25">
        <f>SUM(I14:I44)*24</f>
        <v>167.99999999999994</v>
      </c>
      <c r="E46" s="2" t="s">
        <v>15</v>
      </c>
      <c r="G46" s="25"/>
      <c r="I46" s="2">
        <v>0</v>
      </c>
      <c r="K46" s="40"/>
      <c r="L46" s="35" t="s">
        <v>47</v>
      </c>
      <c r="M46" s="35"/>
      <c r="N46" s="35"/>
      <c r="O46" s="35"/>
      <c r="P46" s="35"/>
      <c r="Q46" s="35"/>
      <c r="R46" s="35"/>
      <c r="S46" s="42"/>
    </row>
    <row r="47" spans="1:19" s="2" customFormat="1" ht="14.25" customHeight="1" x14ac:dyDescent="0.3">
      <c r="A47" s="27" t="s">
        <v>14</v>
      </c>
      <c r="B47" s="27"/>
      <c r="C47" s="28">
        <f>SUM(G14:G44)*24</f>
        <v>133.01666666666665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</row>
    <row r="48" spans="1:19" s="2" customFormat="1" ht="14.25" customHeight="1" thickBot="1" x14ac:dyDescent="0.35">
      <c r="A48" s="29" t="s">
        <v>12</v>
      </c>
      <c r="B48" s="29"/>
      <c r="C48" s="30">
        <f>C47-C46</f>
        <v>-34.983333333333292</v>
      </c>
      <c r="E48" s="29" t="s">
        <v>15</v>
      </c>
      <c r="F48" s="29"/>
      <c r="G48" s="30"/>
      <c r="H48" s="29"/>
      <c r="I48" s="29">
        <f>I46-I47</f>
        <v>0</v>
      </c>
      <c r="K48" s="40"/>
      <c r="L48" s="35"/>
      <c r="M48" s="35"/>
      <c r="N48" s="35"/>
      <c r="O48" s="35"/>
      <c r="P48" s="35"/>
      <c r="Q48" s="35"/>
      <c r="R48" s="35"/>
      <c r="S48" s="42"/>
    </row>
    <row r="49" spans="1:19" s="2" customFormat="1" ht="14.25" customHeight="1" thickTop="1" x14ac:dyDescent="0.3">
      <c r="K49" s="40"/>
      <c r="L49" s="35"/>
      <c r="M49" s="35"/>
      <c r="N49" s="35"/>
      <c r="O49" s="35"/>
      <c r="P49" s="35"/>
      <c r="Q49" s="35"/>
      <c r="R49" s="35"/>
      <c r="S49" s="42"/>
    </row>
    <row r="50" spans="1:19" s="2" customFormat="1" ht="14.25" customHeigh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/>
      <c r="M50" s="35"/>
      <c r="N50" s="35"/>
      <c r="O50" s="35"/>
      <c r="P50" s="35"/>
      <c r="Q50" s="35"/>
      <c r="R50" s="35"/>
      <c r="S50" s="42"/>
    </row>
    <row r="51" spans="1:19" s="2" customFormat="1" ht="14.25" customHeight="1" thickTop="1" x14ac:dyDescent="0.3">
      <c r="A51" s="26" t="s">
        <v>72</v>
      </c>
      <c r="K51" s="40"/>
      <c r="L51" s="35"/>
      <c r="M51" s="35"/>
      <c r="N51" s="35"/>
      <c r="O51" s="35"/>
      <c r="P51" s="35"/>
      <c r="Q51" s="35"/>
      <c r="R51" s="35"/>
      <c r="S51" s="42"/>
    </row>
    <row r="52" spans="1:19" s="2" customFormat="1" ht="14.25" customHeight="1" thickBot="1" x14ac:dyDescent="0.35">
      <c r="A52" s="26"/>
      <c r="K52" s="51"/>
      <c r="L52" s="44"/>
      <c r="M52" s="44"/>
      <c r="N52" s="44"/>
      <c r="O52" s="44"/>
      <c r="P52" s="44"/>
      <c r="Q52" s="44"/>
      <c r="R52" s="44"/>
      <c r="S52" s="45"/>
    </row>
    <row r="53" spans="1:19" s="2" customFormat="1" ht="14" x14ac:dyDescent="0.3">
      <c r="L53" s="35"/>
      <c r="M53" s="35"/>
      <c r="N53" s="35"/>
      <c r="O53" s="35"/>
      <c r="P53" s="35"/>
      <c r="Q53" s="35"/>
      <c r="R53" s="35"/>
      <c r="S53" s="35"/>
    </row>
    <row r="54" spans="1:19" s="2" customFormat="1" ht="14" x14ac:dyDescent="0.3">
      <c r="L54" s="35"/>
      <c r="M54" s="35"/>
      <c r="N54" s="35"/>
      <c r="O54" s="35"/>
      <c r="P54" s="35"/>
      <c r="Q54" s="35"/>
      <c r="R54" s="35"/>
      <c r="S54" s="35"/>
    </row>
    <row r="55" spans="1:19" x14ac:dyDescent="0.35">
      <c r="L55" s="35"/>
      <c r="M55" s="35"/>
      <c r="N55" s="35"/>
      <c r="O55" s="35"/>
      <c r="P55" s="35"/>
      <c r="Q55" s="35"/>
      <c r="R55" s="35"/>
      <c r="S55" s="35"/>
    </row>
    <row r="56" spans="1:19" x14ac:dyDescent="0.35">
      <c r="L56" s="35"/>
      <c r="M56" s="35"/>
      <c r="N56" s="35"/>
      <c r="O56" s="35"/>
      <c r="P56" s="35"/>
      <c r="Q56" s="35"/>
      <c r="R56" s="35"/>
      <c r="S56" s="35"/>
    </row>
    <row r="57" spans="1:19" x14ac:dyDescent="0.35">
      <c r="L57" s="35"/>
      <c r="M57" s="35"/>
      <c r="N57" s="35"/>
      <c r="O57" s="35"/>
      <c r="P57" s="35"/>
      <c r="Q57" s="35"/>
      <c r="R57" s="35"/>
      <c r="S57" s="35"/>
    </row>
    <row r="58" spans="1:19" x14ac:dyDescent="0.35">
      <c r="L58" s="35"/>
      <c r="M58" s="34"/>
      <c r="N58" s="34"/>
      <c r="O58" s="34"/>
      <c r="P58" s="34"/>
      <c r="Q58" s="34"/>
      <c r="R58" s="34"/>
      <c r="S58" s="34"/>
    </row>
    <row r="59" spans="1:19" x14ac:dyDescent="0.35">
      <c r="L59" s="34"/>
      <c r="M59" s="34"/>
      <c r="N59" s="34"/>
      <c r="O59" s="34"/>
      <c r="P59" s="34"/>
      <c r="Q59" s="34"/>
      <c r="R59" s="34"/>
      <c r="S59" s="34"/>
    </row>
    <row r="60" spans="1:19" x14ac:dyDescent="0.35">
      <c r="L60" s="34"/>
      <c r="M60" s="46"/>
      <c r="N60" s="46"/>
      <c r="O60" s="46"/>
      <c r="P60" s="46"/>
      <c r="Q60" s="46"/>
      <c r="R60" s="46"/>
      <c r="S60" s="46"/>
    </row>
    <row r="61" spans="1:19" x14ac:dyDescent="0.35">
      <c r="L61" s="46"/>
      <c r="M61" s="46"/>
      <c r="N61" s="46"/>
      <c r="O61" s="46"/>
      <c r="P61" s="46"/>
      <c r="Q61" s="46"/>
      <c r="R61" s="46"/>
      <c r="S61" s="46"/>
    </row>
    <row r="62" spans="1:19" x14ac:dyDescent="0.35">
      <c r="L62" s="46"/>
    </row>
  </sheetData>
  <mergeCells count="10">
    <mergeCell ref="E9:G9"/>
    <mergeCell ref="E10:G10"/>
    <mergeCell ref="B12:C12"/>
    <mergeCell ref="D12:E12"/>
    <mergeCell ref="E3:G3"/>
    <mergeCell ref="E4:G4"/>
    <mergeCell ref="E5:I5"/>
    <mergeCell ref="E6:G6"/>
    <mergeCell ref="E7:G7"/>
    <mergeCell ref="E8:G8"/>
  </mergeCells>
  <conditionalFormatting sqref="A14:A33 A35:A44">
    <cfRule type="expression" dxfId="17" priority="5">
      <formula>WEEKDAY(A14,2)&gt;5</formula>
    </cfRule>
  </conditionalFormatting>
  <conditionalFormatting sqref="A41:A42">
    <cfRule type="expression" dxfId="16" priority="3">
      <formula>MONTH(A42)&gt;MONTH(A$33)</formula>
    </cfRule>
    <cfRule type="expression" dxfId="15" priority="4">
      <formula>MONTH(B42)&gt;MONTH(B$33)</formula>
    </cfRule>
  </conditionalFormatting>
  <conditionalFormatting sqref="A43:A44">
    <cfRule type="expression" dxfId="14" priority="6">
      <formula>MONTH(#REF!)&gt;MONTH(A$33)</formula>
    </cfRule>
    <cfRule type="expression" dxfId="13" priority="7">
      <formula>MONTH(#REF!)&gt;MONTH(B$33)</formula>
    </cfRule>
  </conditionalFormatting>
  <conditionalFormatting sqref="A34">
    <cfRule type="expression" dxfId="12" priority="1">
      <formula>WEEKDAY(A34,2)&gt;5</formula>
    </cfRule>
  </conditionalFormatting>
  <dataValidations count="2">
    <dataValidation type="whole" allowBlank="1" showInputMessage="1" showErrorMessage="1" sqref="E10:G10" xr:uid="{2738A6D3-D581-4844-9919-DE10B7C18F23}">
      <formula1>0</formula1>
      <formula2>12350</formula2>
    </dataValidation>
    <dataValidation type="list" allowBlank="1" showInputMessage="1" showErrorMessage="1" sqref="E5" xr:uid="{2F1F1A1B-5BB4-436C-9D9F-630BBBEF6CCA}">
      <formula1>"Mitarbeiter, Inhaber, Massgebende Entscheidbefugnis, Ehegatte, Gesellschafter"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1D391-6CEE-4BC1-86CE-67705B9D5F7D}">
  <sheetPr>
    <tabColor rgb="FF92D050"/>
  </sheetPr>
  <dimension ref="A1:S61"/>
  <sheetViews>
    <sheetView workbookViewId="0">
      <selection activeCell="W13" sqref="W13"/>
    </sheetView>
  </sheetViews>
  <sheetFormatPr baseColWidth="10" defaultRowHeight="14.5" x14ac:dyDescent="0.35"/>
  <cols>
    <col min="1" max="1" width="18.7265625" style="2" customWidth="1"/>
    <col min="2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26953125" customWidth="1"/>
    <col min="11" max="11" width="2.7265625" customWidth="1"/>
    <col min="19" max="19" width="2.7265625" customWidth="1"/>
  </cols>
  <sheetData>
    <row r="1" spans="1:19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19" s="2" customFormat="1" ht="9.75" customHeight="1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19" s="2" customFormat="1" ht="15" customHeight="1" x14ac:dyDescent="0.3">
      <c r="A3" s="3" t="s">
        <v>0</v>
      </c>
      <c r="B3" s="4"/>
      <c r="C3" s="4"/>
      <c r="D3" s="4"/>
      <c r="E3" s="134" t="s">
        <v>104</v>
      </c>
      <c r="F3" s="134"/>
      <c r="G3" s="134"/>
      <c r="H3" s="4"/>
      <c r="I3" s="4"/>
      <c r="K3" s="40"/>
      <c r="L3" s="34"/>
      <c r="M3" s="34"/>
      <c r="N3" s="34"/>
      <c r="O3" s="34"/>
      <c r="P3" s="34"/>
      <c r="Q3" s="34"/>
      <c r="R3" s="34"/>
      <c r="S3" s="41"/>
    </row>
    <row r="4" spans="1:19" s="2" customFormat="1" ht="14.25" customHeight="1" x14ac:dyDescent="0.3">
      <c r="A4" s="3" t="s">
        <v>1</v>
      </c>
      <c r="B4" s="4"/>
      <c r="C4" s="4"/>
      <c r="D4" s="4"/>
      <c r="E4" s="135" t="s">
        <v>105</v>
      </c>
      <c r="F4" s="135"/>
      <c r="G4" s="135"/>
      <c r="H4" s="4"/>
      <c r="I4" s="4"/>
      <c r="K4" s="40"/>
      <c r="L4" s="34"/>
      <c r="M4" s="34"/>
      <c r="N4" s="34"/>
      <c r="O4" s="34"/>
      <c r="P4" s="34" t="s">
        <v>87</v>
      </c>
      <c r="Q4" s="34"/>
      <c r="R4" s="34"/>
      <c r="S4" s="41"/>
    </row>
    <row r="5" spans="1:19" s="2" customFormat="1" ht="14" x14ac:dyDescent="0.3">
      <c r="A5" s="3" t="s">
        <v>18</v>
      </c>
      <c r="B5" s="4"/>
      <c r="C5" s="4"/>
      <c r="D5" s="4"/>
      <c r="E5" s="135" t="s">
        <v>19</v>
      </c>
      <c r="F5" s="135"/>
      <c r="G5" s="135"/>
      <c r="H5" s="135"/>
      <c r="I5" s="135"/>
      <c r="K5" s="40"/>
      <c r="L5" s="34"/>
      <c r="M5" s="34"/>
      <c r="N5" s="34"/>
      <c r="O5" s="34"/>
      <c r="P5" s="34" t="s">
        <v>88</v>
      </c>
      <c r="Q5" s="34"/>
      <c r="R5" s="34"/>
      <c r="S5" s="41"/>
    </row>
    <row r="6" spans="1:19" s="2" customFormat="1" ht="14" x14ac:dyDescent="0.3">
      <c r="A6" s="3" t="s">
        <v>2</v>
      </c>
      <c r="B6" s="4"/>
      <c r="C6" s="4"/>
      <c r="D6" s="4"/>
      <c r="E6" s="135">
        <v>42</v>
      </c>
      <c r="F6" s="135"/>
      <c r="G6" s="135"/>
      <c r="H6" s="4"/>
      <c r="I6" s="4"/>
      <c r="K6" s="40"/>
      <c r="L6" s="34"/>
      <c r="M6" s="34"/>
      <c r="N6" s="34"/>
      <c r="O6" s="34"/>
      <c r="P6" s="34" t="s">
        <v>89</v>
      </c>
      <c r="Q6" s="34"/>
      <c r="R6" s="34"/>
      <c r="S6" s="41"/>
    </row>
    <row r="7" spans="1:19" s="2" customFormat="1" ht="14" x14ac:dyDescent="0.3">
      <c r="A7" s="3" t="s">
        <v>3</v>
      </c>
      <c r="B7" s="4"/>
      <c r="C7" s="4"/>
      <c r="D7" s="4"/>
      <c r="E7" s="136">
        <v>0.8</v>
      </c>
      <c r="F7" s="136"/>
      <c r="G7" s="136"/>
      <c r="H7" s="4"/>
      <c r="I7" s="4"/>
      <c r="K7" s="40"/>
      <c r="L7" s="34"/>
      <c r="M7" s="34"/>
      <c r="N7" s="34"/>
      <c r="O7" s="34"/>
      <c r="P7" s="34"/>
      <c r="Q7" s="34"/>
      <c r="R7" s="34"/>
      <c r="S7" s="41"/>
    </row>
    <row r="8" spans="1:19" s="2" customFormat="1" ht="14" x14ac:dyDescent="0.3">
      <c r="A8" s="3" t="s">
        <v>4</v>
      </c>
      <c r="B8" s="4"/>
      <c r="C8" s="4"/>
      <c r="D8" s="4"/>
      <c r="E8" s="137">
        <f>E6/24*E7</f>
        <v>1.4000000000000001</v>
      </c>
      <c r="F8" s="137"/>
      <c r="G8" s="137"/>
      <c r="H8" s="4"/>
      <c r="I8" s="4"/>
      <c r="K8" s="40"/>
      <c r="L8" s="34"/>
      <c r="M8" s="34"/>
      <c r="N8" s="34"/>
      <c r="O8" s="34"/>
      <c r="P8" s="34"/>
      <c r="Q8" s="34"/>
      <c r="R8" s="34"/>
      <c r="S8" s="41"/>
    </row>
    <row r="9" spans="1:19" s="2" customFormat="1" ht="14" x14ac:dyDescent="0.3">
      <c r="A9" s="3" t="s">
        <v>65</v>
      </c>
      <c r="B9" s="4"/>
      <c r="C9" s="4"/>
      <c r="D9" s="130"/>
      <c r="E9" s="131">
        <v>4200</v>
      </c>
      <c r="F9" s="131"/>
      <c r="G9" s="131"/>
      <c r="H9" s="4"/>
      <c r="I9" s="4"/>
      <c r="K9" s="40"/>
      <c r="L9" s="34"/>
      <c r="M9" s="34"/>
      <c r="N9" s="34"/>
      <c r="O9" s="34"/>
      <c r="P9" s="34"/>
      <c r="Q9" s="34"/>
      <c r="R9" s="34"/>
      <c r="S9" s="41"/>
    </row>
    <row r="10" spans="1:19" s="2" customFormat="1" ht="14.25" customHeight="1" x14ac:dyDescent="0.3">
      <c r="A10" s="3" t="s">
        <v>20</v>
      </c>
      <c r="B10" s="4"/>
      <c r="C10" s="4"/>
      <c r="D10" s="130"/>
      <c r="E10" s="131">
        <f>IF(E5="Mitarbeiter",IF(E9&lt;12350,E9,12350),IF(E5="Ehegatte",IF(E9&lt;4150,E9,4150),IF(E5="Inhaber",IF(E9&lt;4150,E9,4150),IF(E5="Gesellschafter",IF(E9&lt;4150,E9,4150),IF(E5="Massgebende Entscheidbefugnis",IF(E9&lt;4150,E9,4150))))))</f>
        <v>4200</v>
      </c>
      <c r="F10" s="131"/>
      <c r="G10" s="131"/>
      <c r="H10" s="4"/>
      <c r="I10" s="4"/>
      <c r="K10" s="40"/>
      <c r="L10" s="34"/>
      <c r="M10" s="34"/>
      <c r="N10" s="34"/>
      <c r="O10" s="34"/>
      <c r="P10" s="34"/>
      <c r="Q10" s="34"/>
      <c r="R10" s="34"/>
      <c r="S10" s="41"/>
    </row>
    <row r="11" spans="1:19" s="2" customFormat="1" thickBot="1" x14ac:dyDescent="0.35">
      <c r="K11" s="40"/>
      <c r="L11" s="34" t="s">
        <v>76</v>
      </c>
      <c r="M11" s="34"/>
      <c r="N11" s="34"/>
      <c r="O11" s="34"/>
      <c r="P11" s="34"/>
      <c r="Q11" s="34"/>
      <c r="R11" s="34"/>
      <c r="S11" s="41"/>
    </row>
    <row r="12" spans="1:19" s="2" customForma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René Vorlage</v>
      </c>
      <c r="M12" s="34"/>
      <c r="N12" s="34"/>
      <c r="O12" s="34"/>
      <c r="P12" s="34"/>
      <c r="Q12" s="34"/>
      <c r="R12" s="34"/>
      <c r="S12" s="41"/>
    </row>
    <row r="13" spans="1:19" s="2" customFormat="1" ht="14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106</v>
      </c>
      <c r="M13" s="34"/>
      <c r="N13" s="34"/>
      <c r="O13" s="34"/>
      <c r="P13" s="34"/>
      <c r="Q13" s="34"/>
      <c r="R13" s="34"/>
      <c r="S13" s="41"/>
    </row>
    <row r="14" spans="1:19" s="2" customFormat="1" ht="14" x14ac:dyDescent="0.3">
      <c r="A14" s="12">
        <v>43952</v>
      </c>
      <c r="B14" s="118">
        <v>0.31597222222222221</v>
      </c>
      <c r="C14" s="119">
        <v>0.46875</v>
      </c>
      <c r="D14" s="120"/>
      <c r="E14" s="118"/>
      <c r="F14" s="16"/>
      <c r="G14" s="17">
        <f>IF(B14="Ferien",I14,C14-B14+E14-D14)</f>
        <v>0.15277777777777779</v>
      </c>
      <c r="H14" s="18"/>
      <c r="I14" s="17">
        <f>$E$8/5</f>
        <v>0.28000000000000003</v>
      </c>
      <c r="K14" s="40"/>
      <c r="L14" s="34" t="s">
        <v>103</v>
      </c>
      <c r="M14" s="34"/>
      <c r="N14" s="34"/>
      <c r="O14" s="34"/>
      <c r="P14" s="34"/>
      <c r="Q14" s="34"/>
      <c r="R14" s="34"/>
      <c r="S14" s="41"/>
    </row>
    <row r="15" spans="1:19" s="2" customFormat="1" ht="14" x14ac:dyDescent="0.3">
      <c r="A15" s="12">
        <f>A14+1</f>
        <v>43953</v>
      </c>
      <c r="B15" s="118"/>
      <c r="C15" s="119"/>
      <c r="D15" s="120"/>
      <c r="E15" s="118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</row>
    <row r="16" spans="1:19" s="2" customFormat="1" ht="14" x14ac:dyDescent="0.3">
      <c r="A16" s="12">
        <f t="shared" ref="A16:A44" si="0">A15+1</f>
        <v>43954</v>
      </c>
      <c r="B16" s="118"/>
      <c r="C16" s="119"/>
      <c r="D16" s="121"/>
      <c r="E16" s="122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</row>
    <row r="17" spans="1:19" s="2" customFormat="1" ht="14" x14ac:dyDescent="0.3">
      <c r="A17" s="12">
        <f>A16+1</f>
        <v>43955</v>
      </c>
      <c r="B17" s="118">
        <v>0.30902777777777779</v>
      </c>
      <c r="C17" s="119">
        <v>0.5</v>
      </c>
      <c r="D17" s="121"/>
      <c r="E17" s="122"/>
      <c r="F17" s="19"/>
      <c r="G17" s="17">
        <f t="shared" ref="G17:G42" si="1">IF(B17="Ferien",I17,C17-B17+E17-D17)</f>
        <v>0.19097222222222221</v>
      </c>
      <c r="H17" s="20"/>
      <c r="I17" s="17">
        <f t="shared" ref="I17:I42" si="2">$E$8/5</f>
        <v>0.28000000000000003</v>
      </c>
      <c r="K17" s="40"/>
      <c r="L17" s="47" t="s">
        <v>33</v>
      </c>
      <c r="M17" s="48"/>
      <c r="N17" s="49" t="s">
        <v>66</v>
      </c>
      <c r="O17" s="34"/>
      <c r="P17" s="34" t="s">
        <v>67</v>
      </c>
      <c r="Q17" s="106">
        <v>43972</v>
      </c>
      <c r="R17" s="34"/>
      <c r="S17" s="41"/>
    </row>
    <row r="18" spans="1:19" s="2" customFormat="1" ht="14" x14ac:dyDescent="0.3">
      <c r="A18" s="12">
        <f t="shared" si="0"/>
        <v>43956</v>
      </c>
      <c r="B18" s="118">
        <v>0.33333333333333331</v>
      </c>
      <c r="C18" s="119">
        <v>0.5</v>
      </c>
      <c r="D18" s="120"/>
      <c r="E18" s="118"/>
      <c r="F18" s="19"/>
      <c r="G18" s="17">
        <f t="shared" si="1"/>
        <v>0.16666666666666669</v>
      </c>
      <c r="H18" s="20"/>
      <c r="I18" s="17">
        <f t="shared" si="2"/>
        <v>0.28000000000000003</v>
      </c>
      <c r="K18" s="40"/>
      <c r="L18" s="34"/>
      <c r="M18" s="34"/>
      <c r="N18" s="34"/>
      <c r="O18" s="34"/>
      <c r="P18" s="34"/>
      <c r="Q18" s="34"/>
      <c r="R18" s="34"/>
      <c r="S18" s="41"/>
    </row>
    <row r="19" spans="1:19" s="2" customFormat="1" ht="14" x14ac:dyDescent="0.3">
      <c r="A19" s="12">
        <f t="shared" si="0"/>
        <v>43957</v>
      </c>
      <c r="B19" s="118">
        <v>0.30208333333333331</v>
      </c>
      <c r="C19" s="119">
        <v>0.41666666666666669</v>
      </c>
      <c r="D19" s="120"/>
      <c r="E19" s="118"/>
      <c r="F19" s="19"/>
      <c r="G19" s="17">
        <f t="shared" si="1"/>
        <v>0.11458333333333337</v>
      </c>
      <c r="H19" s="20"/>
      <c r="I19" s="17">
        <f t="shared" si="2"/>
        <v>0.28000000000000003</v>
      </c>
      <c r="K19" s="40"/>
      <c r="L19" s="34"/>
      <c r="M19" s="34"/>
      <c r="N19" s="34"/>
      <c r="O19" s="34"/>
      <c r="P19" s="34"/>
      <c r="Q19" s="34"/>
      <c r="R19" s="34"/>
      <c r="S19" s="41"/>
    </row>
    <row r="20" spans="1:19" s="2" customFormat="1" ht="14" x14ac:dyDescent="0.3">
      <c r="A20" s="12">
        <f t="shared" si="0"/>
        <v>43958</v>
      </c>
      <c r="B20" s="118">
        <v>0.28819444444444448</v>
      </c>
      <c r="C20" s="119">
        <v>0.5</v>
      </c>
      <c r="D20" s="120"/>
      <c r="E20" s="118"/>
      <c r="F20" s="19"/>
      <c r="G20" s="17">
        <f t="shared" si="1"/>
        <v>0.21180555555555552</v>
      </c>
      <c r="H20" s="20"/>
      <c r="I20" s="17">
        <f t="shared" si="2"/>
        <v>0.28000000000000003</v>
      </c>
      <c r="K20" s="40"/>
      <c r="L20" s="34" t="s">
        <v>34</v>
      </c>
      <c r="M20" s="34"/>
      <c r="O20" s="59" t="s">
        <v>22</v>
      </c>
      <c r="P20" s="59" t="s">
        <v>35</v>
      </c>
      <c r="Q20" s="59"/>
      <c r="R20" s="59" t="s">
        <v>36</v>
      </c>
      <c r="S20" s="41"/>
    </row>
    <row r="21" spans="1:19" s="2" customFormat="1" ht="14" x14ac:dyDescent="0.3">
      <c r="A21" s="12">
        <f t="shared" si="0"/>
        <v>43959</v>
      </c>
      <c r="B21" s="118">
        <v>0.32291666666666669</v>
      </c>
      <c r="C21" s="119">
        <v>0.5</v>
      </c>
      <c r="D21" s="120"/>
      <c r="E21" s="118"/>
      <c r="F21" s="19"/>
      <c r="G21" s="17">
        <f t="shared" si="1"/>
        <v>0.17708333333333331</v>
      </c>
      <c r="H21" s="20"/>
      <c r="I21" s="17">
        <f t="shared" si="2"/>
        <v>0.28000000000000003</v>
      </c>
      <c r="K21" s="40"/>
      <c r="L21" s="35"/>
      <c r="M21" s="35"/>
      <c r="N21" s="60"/>
      <c r="O21" s="60"/>
      <c r="P21" s="60"/>
      <c r="Q21" s="60"/>
      <c r="R21" s="60"/>
      <c r="S21" s="42"/>
    </row>
    <row r="22" spans="1:19" s="2" customFormat="1" ht="14" x14ac:dyDescent="0.3">
      <c r="A22" s="12">
        <f t="shared" si="0"/>
        <v>43960</v>
      </c>
      <c r="B22" s="118"/>
      <c r="C22" s="119"/>
      <c r="D22" s="120"/>
      <c r="E22" s="118"/>
      <c r="F22" s="19"/>
      <c r="G22" s="17"/>
      <c r="H22" s="20"/>
      <c r="I22" s="17"/>
      <c r="K22" s="40"/>
      <c r="L22" s="33" t="s">
        <v>37</v>
      </c>
      <c r="M22" s="33"/>
      <c r="N22" s="69"/>
      <c r="O22" s="69">
        <f>ROUND((R22/P22)*2,1)/2</f>
        <v>5250</v>
      </c>
      <c r="P22" s="104">
        <f>E7</f>
        <v>0.8</v>
      </c>
      <c r="Q22" s="69"/>
      <c r="R22" s="69">
        <f>E9</f>
        <v>4200</v>
      </c>
      <c r="S22" s="42"/>
    </row>
    <row r="23" spans="1:19" s="2" customFormat="1" ht="14" x14ac:dyDescent="0.3">
      <c r="A23" s="12">
        <f t="shared" si="0"/>
        <v>43961</v>
      </c>
      <c r="B23" s="118"/>
      <c r="C23" s="119"/>
      <c r="D23" s="120"/>
      <c r="E23" s="118"/>
      <c r="F23" s="19"/>
      <c r="G23" s="17"/>
      <c r="H23" s="20"/>
      <c r="I23" s="17"/>
      <c r="K23" s="40"/>
      <c r="L23" s="36" t="s">
        <v>38</v>
      </c>
      <c r="M23" s="36"/>
      <c r="N23" s="70"/>
      <c r="O23" s="70"/>
      <c r="P23" s="70"/>
      <c r="Q23" s="70"/>
      <c r="R23" s="70">
        <f>R22</f>
        <v>4200</v>
      </c>
      <c r="S23" s="42"/>
    </row>
    <row r="24" spans="1:19" s="2" customFormat="1" ht="14" x14ac:dyDescent="0.3">
      <c r="A24" s="12">
        <f t="shared" si="0"/>
        <v>43962</v>
      </c>
      <c r="B24" s="118" t="s">
        <v>110</v>
      </c>
      <c r="C24" s="119"/>
      <c r="D24" s="121"/>
      <c r="E24" s="122"/>
      <c r="F24" s="19"/>
      <c r="G24" s="17">
        <f t="shared" si="1"/>
        <v>0.28000000000000003</v>
      </c>
      <c r="H24" s="20"/>
      <c r="I24" s="17">
        <f t="shared" si="2"/>
        <v>0.28000000000000003</v>
      </c>
      <c r="K24" s="40"/>
      <c r="L24" s="35" t="s">
        <v>75</v>
      </c>
      <c r="M24" s="35"/>
      <c r="N24" s="60"/>
      <c r="O24" s="60">
        <v>0</v>
      </c>
      <c r="P24" s="60">
        <v>230</v>
      </c>
      <c r="Q24" s="60"/>
      <c r="R24" s="60">
        <f>O24*P24</f>
        <v>0</v>
      </c>
      <c r="S24" s="42"/>
    </row>
    <row r="25" spans="1:19" s="2" customFormat="1" ht="14" x14ac:dyDescent="0.3">
      <c r="A25" s="12">
        <f t="shared" si="0"/>
        <v>43963</v>
      </c>
      <c r="B25" s="118" t="s">
        <v>110</v>
      </c>
      <c r="C25" s="119"/>
      <c r="D25" s="120"/>
      <c r="E25" s="118"/>
      <c r="F25" s="19"/>
      <c r="G25" s="17">
        <f t="shared" si="1"/>
        <v>0.28000000000000003</v>
      </c>
      <c r="H25" s="20"/>
      <c r="I25" s="17">
        <f t="shared" si="2"/>
        <v>0.28000000000000003</v>
      </c>
      <c r="K25" s="40"/>
      <c r="L25" s="35"/>
      <c r="M25" s="35"/>
      <c r="N25" s="60"/>
      <c r="O25" s="60"/>
      <c r="P25" s="60"/>
      <c r="Q25" s="60"/>
      <c r="R25" s="60"/>
      <c r="S25" s="43"/>
    </row>
    <row r="26" spans="1:19" s="2" customFormat="1" ht="14" x14ac:dyDescent="0.3">
      <c r="A26" s="12">
        <f t="shared" si="0"/>
        <v>43964</v>
      </c>
      <c r="B26" s="118" t="s">
        <v>110</v>
      </c>
      <c r="C26" s="119"/>
      <c r="D26" s="120"/>
      <c r="E26" s="118"/>
      <c r="F26" s="19"/>
      <c r="G26" s="17">
        <f t="shared" si="1"/>
        <v>0.28000000000000003</v>
      </c>
      <c r="H26" s="20"/>
      <c r="I26" s="17">
        <f t="shared" si="2"/>
        <v>0.28000000000000003</v>
      </c>
      <c r="K26" s="40"/>
      <c r="L26" s="35" t="s">
        <v>39</v>
      </c>
      <c r="M26" s="35"/>
      <c r="N26" s="60"/>
      <c r="O26" s="60">
        <f>$R$22</f>
        <v>4200</v>
      </c>
      <c r="P26" s="71">
        <v>5.2749999999999998E-2</v>
      </c>
      <c r="Q26" s="60"/>
      <c r="R26" s="60">
        <f>ROUND((O26*P26)*2,1)/2</f>
        <v>221.55</v>
      </c>
      <c r="S26" s="43"/>
    </row>
    <row r="27" spans="1:19" s="2" customFormat="1" ht="14" x14ac:dyDescent="0.3">
      <c r="A27" s="12">
        <f t="shared" si="0"/>
        <v>43965</v>
      </c>
      <c r="B27" s="118" t="s">
        <v>110</v>
      </c>
      <c r="C27" s="119"/>
      <c r="D27" s="120"/>
      <c r="E27" s="118"/>
      <c r="F27" s="19"/>
      <c r="G27" s="17">
        <f t="shared" si="1"/>
        <v>0.28000000000000003</v>
      </c>
      <c r="H27" s="20"/>
      <c r="I27" s="17">
        <f t="shared" si="2"/>
        <v>0.28000000000000003</v>
      </c>
      <c r="K27" s="40"/>
      <c r="L27" s="35" t="s">
        <v>40</v>
      </c>
      <c r="M27" s="35"/>
      <c r="N27" s="60"/>
      <c r="O27" s="60">
        <f>$R$22</f>
        <v>4200</v>
      </c>
      <c r="P27" s="71">
        <v>1.0999999999999999E-2</v>
      </c>
      <c r="Q27" s="60"/>
      <c r="R27" s="60">
        <f t="shared" ref="R27:R29" si="3">ROUND((O27*P27)*2,1)/2</f>
        <v>46.2</v>
      </c>
      <c r="S27" s="43"/>
    </row>
    <row r="28" spans="1:19" s="2" customFormat="1" ht="14" x14ac:dyDescent="0.3">
      <c r="A28" s="12">
        <f t="shared" si="0"/>
        <v>43966</v>
      </c>
      <c r="B28" s="118" t="s">
        <v>110</v>
      </c>
      <c r="C28" s="119"/>
      <c r="D28" s="120"/>
      <c r="E28" s="118"/>
      <c r="F28" s="19"/>
      <c r="G28" s="17">
        <f t="shared" si="1"/>
        <v>0.28000000000000003</v>
      </c>
      <c r="H28" s="20"/>
      <c r="I28" s="17">
        <f t="shared" si="2"/>
        <v>0.28000000000000003</v>
      </c>
      <c r="K28" s="40"/>
      <c r="L28" s="35" t="s">
        <v>41</v>
      </c>
      <c r="M28" s="35"/>
      <c r="N28" s="60"/>
      <c r="O28" s="60">
        <v>0</v>
      </c>
      <c r="P28" s="71">
        <v>9.3500000000000007E-3</v>
      </c>
      <c r="Q28" s="60"/>
      <c r="R28" s="60">
        <f t="shared" si="3"/>
        <v>0</v>
      </c>
      <c r="S28" s="42"/>
    </row>
    <row r="29" spans="1:19" s="2" customFormat="1" ht="14" x14ac:dyDescent="0.3">
      <c r="A29" s="12">
        <f t="shared" si="0"/>
        <v>43967</v>
      </c>
      <c r="B29" s="118"/>
      <c r="C29" s="119"/>
      <c r="D29" s="120"/>
      <c r="E29" s="118"/>
      <c r="F29" s="19"/>
      <c r="G29" s="17"/>
      <c r="H29" s="20"/>
      <c r="I29" s="17"/>
      <c r="K29" s="40"/>
      <c r="L29" s="35" t="s">
        <v>42</v>
      </c>
      <c r="M29" s="35"/>
      <c r="N29" s="60"/>
      <c r="O29" s="60">
        <f t="shared" ref="O29" si="4">$R$22</f>
        <v>4200</v>
      </c>
      <c r="P29" s="71">
        <v>7.9399999999999991E-3</v>
      </c>
      <c r="Q29" s="60"/>
      <c r="R29" s="60">
        <f t="shared" si="3"/>
        <v>33.35</v>
      </c>
      <c r="S29" s="42"/>
    </row>
    <row r="30" spans="1:19" s="2" customFormat="1" ht="14" x14ac:dyDescent="0.3">
      <c r="A30" s="12">
        <f t="shared" si="0"/>
        <v>43968</v>
      </c>
      <c r="B30" s="118"/>
      <c r="C30" s="119"/>
      <c r="D30" s="120"/>
      <c r="E30" s="118"/>
      <c r="F30" s="19"/>
      <c r="G30" s="17"/>
      <c r="H30" s="20"/>
      <c r="I30" s="17"/>
      <c r="K30" s="40"/>
      <c r="L30" s="33" t="s">
        <v>43</v>
      </c>
      <c r="M30" s="33"/>
      <c r="N30" s="69"/>
      <c r="O30" s="69"/>
      <c r="P30" s="69"/>
      <c r="Q30" s="69"/>
      <c r="R30" s="69">
        <v>450</v>
      </c>
      <c r="S30" s="42"/>
    </row>
    <row r="31" spans="1:19" s="2" customFormat="1" ht="14" x14ac:dyDescent="0.3">
      <c r="A31" s="12">
        <f t="shared" si="0"/>
        <v>43969</v>
      </c>
      <c r="B31" s="118">
        <v>0.30902777777777779</v>
      </c>
      <c r="C31" s="119">
        <v>0.5</v>
      </c>
      <c r="D31" s="121"/>
      <c r="E31" s="122"/>
      <c r="F31" s="19"/>
      <c r="G31" s="17">
        <f t="shared" si="1"/>
        <v>0.19097222222222221</v>
      </c>
      <c r="H31" s="20"/>
      <c r="I31" s="17">
        <f t="shared" si="2"/>
        <v>0.28000000000000003</v>
      </c>
      <c r="K31" s="40"/>
      <c r="L31" s="36" t="s">
        <v>44</v>
      </c>
      <c r="M31" s="36"/>
      <c r="N31" s="70"/>
      <c r="O31" s="70"/>
      <c r="P31" s="70"/>
      <c r="Q31" s="70"/>
      <c r="R31" s="70">
        <f>R23-SUM(R26:R30)</f>
        <v>3448.9</v>
      </c>
      <c r="S31" s="42"/>
    </row>
    <row r="32" spans="1:19" s="2" customFormat="1" ht="14" x14ac:dyDescent="0.3">
      <c r="A32" s="12">
        <f t="shared" si="0"/>
        <v>43970</v>
      </c>
      <c r="B32" s="118">
        <v>0.33333333333333331</v>
      </c>
      <c r="C32" s="119">
        <v>0.5</v>
      </c>
      <c r="D32" s="120"/>
      <c r="E32" s="118"/>
      <c r="F32" s="19"/>
      <c r="G32" s="17">
        <f t="shared" si="1"/>
        <v>0.16666666666666669</v>
      </c>
      <c r="H32" s="20"/>
      <c r="I32" s="17">
        <f t="shared" si="2"/>
        <v>0.28000000000000003</v>
      </c>
      <c r="K32" s="40"/>
      <c r="L32" s="36"/>
      <c r="M32" s="36"/>
      <c r="N32" s="70"/>
      <c r="O32" s="70"/>
      <c r="P32" s="70"/>
      <c r="Q32" s="70"/>
      <c r="R32" s="70"/>
      <c r="S32" s="42"/>
    </row>
    <row r="33" spans="1:19" s="2" customFormat="1" ht="14" x14ac:dyDescent="0.3">
      <c r="A33" s="12">
        <f t="shared" si="0"/>
        <v>43971</v>
      </c>
      <c r="B33" s="118">
        <v>0.30208333333333331</v>
      </c>
      <c r="C33" s="119">
        <v>0.41666666666666669</v>
      </c>
      <c r="D33" s="120"/>
      <c r="E33" s="118"/>
      <c r="F33" s="19"/>
      <c r="G33" s="17">
        <f t="shared" si="1"/>
        <v>0.11458333333333337</v>
      </c>
      <c r="H33" s="20"/>
      <c r="I33" s="17">
        <f t="shared" si="2"/>
        <v>0.28000000000000003</v>
      </c>
      <c r="K33" s="40"/>
      <c r="L33" s="36" t="s">
        <v>73</v>
      </c>
      <c r="M33" s="36"/>
      <c r="N33" s="70"/>
      <c r="O33" s="70"/>
      <c r="P33" s="70"/>
      <c r="Q33" s="70"/>
      <c r="R33" s="70"/>
      <c r="S33" s="42"/>
    </row>
    <row r="34" spans="1:19" s="2" customFormat="1" ht="14" x14ac:dyDescent="0.3">
      <c r="A34" s="108">
        <f t="shared" si="0"/>
        <v>43972</v>
      </c>
      <c r="B34" s="112"/>
      <c r="C34" s="123"/>
      <c r="D34" s="111"/>
      <c r="E34" s="112"/>
      <c r="F34" s="19"/>
      <c r="G34" s="113">
        <f t="shared" si="1"/>
        <v>0</v>
      </c>
      <c r="H34" s="20"/>
      <c r="I34" s="113">
        <v>0</v>
      </c>
      <c r="K34" s="40"/>
      <c r="L34" s="35" t="s">
        <v>69</v>
      </c>
      <c r="M34" s="35"/>
      <c r="O34" s="60">
        <f>R23</f>
        <v>4200</v>
      </c>
      <c r="P34" s="107">
        <v>0.23</v>
      </c>
      <c r="Q34" s="60"/>
      <c r="R34" s="60">
        <f>ROUND(P34*O34*2,1)/2*-1</f>
        <v>-966</v>
      </c>
      <c r="S34" s="43"/>
    </row>
    <row r="35" spans="1:19" s="2" customFormat="1" ht="14" x14ac:dyDescent="0.3">
      <c r="A35" s="12">
        <f t="shared" si="0"/>
        <v>43973</v>
      </c>
      <c r="B35" s="118" t="s">
        <v>111</v>
      </c>
      <c r="C35" s="119"/>
      <c r="D35" s="120"/>
      <c r="E35" s="118"/>
      <c r="F35" s="19"/>
      <c r="G35" s="17">
        <v>0.27986111111111112</v>
      </c>
      <c r="H35" s="20"/>
      <c r="I35" s="17">
        <f t="shared" si="2"/>
        <v>0.28000000000000003</v>
      </c>
      <c r="K35" s="40"/>
      <c r="L35" s="33" t="str">
        <f>IF(E10=4150,"Entschädigung (80% von CHF 4'125)",IF(O34&gt;12350,"Entschädigung (80% von CHF 12'350)","Entschädigung (80%)"))</f>
        <v>Entschädigung (80%)</v>
      </c>
      <c r="M35" s="33"/>
      <c r="N35" s="69"/>
      <c r="O35" s="69"/>
      <c r="P35" s="69"/>
      <c r="Q35" s="69"/>
      <c r="R35" s="69">
        <f>IF(E10=4150,E10*P34*0.8,IF(E10&gt;12345,E10*P34*0.8,R34*0.8*-1))</f>
        <v>772.80000000000007</v>
      </c>
      <c r="S35" s="42"/>
    </row>
    <row r="36" spans="1:19" s="2" customFormat="1" ht="14" x14ac:dyDescent="0.3">
      <c r="A36" s="12">
        <f t="shared" si="0"/>
        <v>43974</v>
      </c>
      <c r="B36" s="118"/>
      <c r="C36" s="119"/>
      <c r="D36" s="120"/>
      <c r="E36" s="118"/>
      <c r="F36" s="19"/>
      <c r="G36" s="17"/>
      <c r="H36" s="20"/>
      <c r="I36" s="17"/>
      <c r="K36" s="40"/>
      <c r="L36" s="33" t="s">
        <v>74</v>
      </c>
      <c r="M36" s="33"/>
      <c r="N36" s="69"/>
      <c r="O36" s="69"/>
      <c r="P36" s="69"/>
      <c r="Q36" s="69"/>
      <c r="R36" s="69">
        <f>R34+R35</f>
        <v>-193.19999999999993</v>
      </c>
      <c r="S36" s="42"/>
    </row>
    <row r="37" spans="1:19" s="2" customFormat="1" ht="14" x14ac:dyDescent="0.3">
      <c r="A37" s="12">
        <f t="shared" si="0"/>
        <v>43975</v>
      </c>
      <c r="B37" s="118"/>
      <c r="C37" s="119"/>
      <c r="D37" s="120"/>
      <c r="E37" s="118"/>
      <c r="F37" s="19"/>
      <c r="G37" s="17"/>
      <c r="H37" s="20"/>
      <c r="I37" s="17"/>
      <c r="K37" s="40"/>
      <c r="L37" s="103" t="s">
        <v>70</v>
      </c>
      <c r="M37" s="103"/>
      <c r="N37" s="105"/>
      <c r="O37" s="105"/>
      <c r="P37" s="105"/>
      <c r="Q37" s="105"/>
      <c r="R37" s="105">
        <f>R31+R36</f>
        <v>3255.7000000000003</v>
      </c>
      <c r="S37" s="42"/>
    </row>
    <row r="38" spans="1:19" s="2" customFormat="1" ht="14" x14ac:dyDescent="0.3">
      <c r="A38" s="12">
        <f t="shared" si="0"/>
        <v>43976</v>
      </c>
      <c r="B38" s="118">
        <v>0.30902777777777779</v>
      </c>
      <c r="C38" s="119">
        <v>0.5</v>
      </c>
      <c r="D38" s="120"/>
      <c r="E38" s="118"/>
      <c r="F38" s="19"/>
      <c r="G38" s="17">
        <f t="shared" si="1"/>
        <v>0.19097222222222221</v>
      </c>
      <c r="H38" s="20"/>
      <c r="I38" s="17">
        <f t="shared" si="2"/>
        <v>0.28000000000000003</v>
      </c>
      <c r="K38" s="40"/>
      <c r="L38" s="36"/>
      <c r="M38" s="36"/>
      <c r="N38" s="70"/>
      <c r="O38" s="70"/>
      <c r="P38" s="70"/>
      <c r="Q38" s="70"/>
      <c r="R38" s="70"/>
      <c r="S38" s="42"/>
    </row>
    <row r="39" spans="1:19" s="2" customFormat="1" ht="14" x14ac:dyDescent="0.3">
      <c r="A39" s="12">
        <f t="shared" si="0"/>
        <v>43977</v>
      </c>
      <c r="B39" s="118">
        <v>0.33333333333333331</v>
      </c>
      <c r="C39" s="119">
        <v>0.5</v>
      </c>
      <c r="D39" s="120"/>
      <c r="E39" s="118"/>
      <c r="F39" s="19"/>
      <c r="G39" s="17">
        <f t="shared" si="1"/>
        <v>0.16666666666666669</v>
      </c>
      <c r="H39" s="20"/>
      <c r="I39" s="17">
        <f t="shared" si="2"/>
        <v>0.28000000000000003</v>
      </c>
      <c r="K39" s="40"/>
      <c r="L39" s="36" t="s">
        <v>68</v>
      </c>
      <c r="M39" s="35"/>
      <c r="N39" s="35"/>
      <c r="O39" s="35"/>
      <c r="P39" s="35"/>
      <c r="Q39" s="35"/>
      <c r="R39" s="35"/>
      <c r="S39" s="42"/>
    </row>
    <row r="40" spans="1:19" s="2" customFormat="1" ht="14" x14ac:dyDescent="0.3">
      <c r="A40" s="12">
        <f t="shared" si="0"/>
        <v>43978</v>
      </c>
      <c r="B40" s="118">
        <v>0.30208333333333331</v>
      </c>
      <c r="C40" s="119">
        <v>0.41666666666666669</v>
      </c>
      <c r="D40" s="120"/>
      <c r="E40" s="118"/>
      <c r="F40" s="19"/>
      <c r="G40" s="17">
        <f t="shared" si="1"/>
        <v>0.11458333333333337</v>
      </c>
      <c r="H40" s="20"/>
      <c r="I40" s="17">
        <f t="shared" si="2"/>
        <v>0.28000000000000003</v>
      </c>
      <c r="K40" s="40"/>
      <c r="L40" s="35" t="s">
        <v>91</v>
      </c>
      <c r="M40" s="35"/>
      <c r="N40" s="35"/>
      <c r="O40" s="35"/>
      <c r="P40" s="35"/>
      <c r="Q40" s="35"/>
      <c r="R40" s="35"/>
      <c r="S40" s="42"/>
    </row>
    <row r="41" spans="1:19" s="2" customFormat="1" ht="14" x14ac:dyDescent="0.3">
      <c r="A41" s="12">
        <f t="shared" si="0"/>
        <v>43979</v>
      </c>
      <c r="B41" s="118">
        <v>0.28819444444444448</v>
      </c>
      <c r="C41" s="119">
        <v>0.5</v>
      </c>
      <c r="D41" s="120"/>
      <c r="E41" s="118"/>
      <c r="F41" s="19"/>
      <c r="G41" s="17">
        <f t="shared" si="1"/>
        <v>0.21180555555555552</v>
      </c>
      <c r="H41" s="20"/>
      <c r="I41" s="17">
        <f t="shared" si="2"/>
        <v>0.28000000000000003</v>
      </c>
      <c r="K41" s="40"/>
      <c r="L41" s="35" t="s">
        <v>92</v>
      </c>
      <c r="M41" s="35"/>
      <c r="N41" s="35"/>
      <c r="O41" s="35"/>
      <c r="P41" s="35"/>
      <c r="Q41" s="35"/>
      <c r="R41" s="35"/>
      <c r="S41" s="42"/>
    </row>
    <row r="42" spans="1:19" s="2" customFormat="1" ht="14" x14ac:dyDescent="0.3">
      <c r="A42" s="12">
        <f t="shared" si="0"/>
        <v>43980</v>
      </c>
      <c r="B42" s="118">
        <v>0.32291666666666669</v>
      </c>
      <c r="C42" s="119">
        <v>0.5</v>
      </c>
      <c r="D42" s="120"/>
      <c r="E42" s="118"/>
      <c r="F42" s="19"/>
      <c r="G42" s="17">
        <f t="shared" si="1"/>
        <v>0.17708333333333331</v>
      </c>
      <c r="H42" s="20"/>
      <c r="I42" s="17">
        <f t="shared" si="2"/>
        <v>0.28000000000000003</v>
      </c>
      <c r="K42" s="40"/>
      <c r="L42" s="35"/>
      <c r="M42" s="35"/>
      <c r="N42" s="35"/>
      <c r="O42" s="35"/>
      <c r="P42" s="35"/>
      <c r="Q42" s="35"/>
      <c r="R42" s="35"/>
      <c r="S42" s="42"/>
    </row>
    <row r="43" spans="1:19" s="2" customFormat="1" ht="14" x14ac:dyDescent="0.3">
      <c r="A43" s="12">
        <f t="shared" si="0"/>
        <v>43981</v>
      </c>
      <c r="B43" s="21"/>
      <c r="C43" s="22"/>
      <c r="D43" s="23"/>
      <c r="E43" s="21"/>
      <c r="F43" s="19"/>
      <c r="G43" s="17"/>
      <c r="H43" s="20"/>
      <c r="I43" s="17"/>
      <c r="K43" s="40"/>
      <c r="M43" s="35"/>
      <c r="N43" s="35"/>
      <c r="O43" s="35"/>
      <c r="P43" s="35"/>
      <c r="Q43" s="35"/>
      <c r="R43" s="35"/>
      <c r="S43" s="42"/>
    </row>
    <row r="44" spans="1:19" s="2" customFormat="1" ht="14" x14ac:dyDescent="0.3">
      <c r="A44" s="12">
        <f t="shared" si="0"/>
        <v>43982</v>
      </c>
      <c r="B44" s="21"/>
      <c r="C44" s="21"/>
      <c r="D44" s="23"/>
      <c r="E44" s="21"/>
      <c r="F44" s="19"/>
      <c r="G44" s="17"/>
      <c r="H44" s="20"/>
      <c r="I44" s="17"/>
      <c r="K44" s="40"/>
      <c r="L44" s="36" t="s">
        <v>45</v>
      </c>
      <c r="M44" s="35"/>
      <c r="N44" s="35"/>
      <c r="O44" s="35"/>
      <c r="P44" s="35"/>
      <c r="Q44" s="35"/>
      <c r="R44" s="35"/>
      <c r="S44" s="42"/>
    </row>
    <row r="45" spans="1:19" s="2" customFormat="1" ht="14" x14ac:dyDescent="0.3">
      <c r="K45" s="40"/>
      <c r="L45" s="35" t="s">
        <v>46</v>
      </c>
      <c r="M45" s="35"/>
      <c r="N45" s="35"/>
      <c r="O45" s="35"/>
      <c r="P45" s="35"/>
      <c r="Q45" s="35"/>
      <c r="R45" s="35"/>
      <c r="S45" s="42"/>
    </row>
    <row r="46" spans="1:19" s="2" customFormat="1" ht="14" x14ac:dyDescent="0.3">
      <c r="A46" s="2" t="s">
        <v>13</v>
      </c>
      <c r="C46" s="25">
        <f>SUM(I14:I44)*24</f>
        <v>134.40000000000009</v>
      </c>
      <c r="E46" s="2" t="s">
        <v>15</v>
      </c>
      <c r="G46" s="25"/>
      <c r="I46" s="2">
        <v>0</v>
      </c>
      <c r="K46" s="40"/>
      <c r="L46" s="35" t="s">
        <v>47</v>
      </c>
      <c r="M46" s="35"/>
      <c r="N46" s="35"/>
      <c r="O46" s="35"/>
      <c r="P46" s="35"/>
      <c r="Q46" s="35"/>
      <c r="R46" s="35"/>
      <c r="S46" s="42"/>
    </row>
    <row r="47" spans="1:19" s="2" customFormat="1" ht="14" x14ac:dyDescent="0.3">
      <c r="A47" s="27" t="s">
        <v>14</v>
      </c>
      <c r="B47" s="27"/>
      <c r="C47" s="28">
        <f>SUM(G14:G44)*24</f>
        <v>96.649999999999977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</row>
    <row r="48" spans="1:19" s="2" customFormat="1" thickBot="1" x14ac:dyDescent="0.35">
      <c r="A48" s="29" t="s">
        <v>12</v>
      </c>
      <c r="B48" s="29"/>
      <c r="C48" s="30">
        <f>C47-C46</f>
        <v>-37.750000000000114</v>
      </c>
      <c r="E48" s="29" t="s">
        <v>15</v>
      </c>
      <c r="F48" s="29"/>
      <c r="G48" s="30"/>
      <c r="H48" s="29"/>
      <c r="I48" s="29">
        <f>I46-I47</f>
        <v>0</v>
      </c>
      <c r="K48" s="40"/>
      <c r="L48" s="35"/>
      <c r="M48" s="35"/>
      <c r="N48" s="35"/>
      <c r="O48" s="35"/>
      <c r="P48" s="35"/>
      <c r="Q48" s="35"/>
      <c r="R48" s="35"/>
      <c r="S48" s="42"/>
    </row>
    <row r="49" spans="1:19" s="2" customFormat="1" thickTop="1" x14ac:dyDescent="0.3">
      <c r="K49" s="40"/>
      <c r="L49" s="35"/>
      <c r="M49" s="35"/>
      <c r="N49" s="35"/>
      <c r="O49" s="35"/>
      <c r="P49" s="35"/>
      <c r="Q49" s="35"/>
      <c r="R49" s="35"/>
      <c r="S49" s="42"/>
    </row>
    <row r="50" spans="1:19" s="2" customForma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/>
      <c r="M50" s="35"/>
      <c r="N50" s="35"/>
      <c r="O50" s="35"/>
      <c r="P50" s="35"/>
      <c r="Q50" s="35"/>
      <c r="R50" s="35"/>
      <c r="S50" s="42"/>
    </row>
    <row r="51" spans="1:19" s="2" customFormat="1" ht="15" thickTop="1" thickBot="1" x14ac:dyDescent="0.35">
      <c r="A51" s="26" t="s">
        <v>72</v>
      </c>
      <c r="K51" s="51"/>
      <c r="L51" s="44"/>
      <c r="M51" s="44"/>
      <c r="N51" s="44"/>
      <c r="O51" s="44"/>
      <c r="P51" s="44"/>
      <c r="Q51" s="44"/>
      <c r="R51" s="44"/>
      <c r="S51" s="45"/>
    </row>
    <row r="52" spans="1:19" s="2" customFormat="1" ht="14" x14ac:dyDescent="0.3">
      <c r="A52" s="26"/>
      <c r="L52" s="35"/>
      <c r="M52" s="35"/>
      <c r="N52" s="35"/>
      <c r="O52" s="35"/>
      <c r="P52" s="35"/>
      <c r="Q52" s="35"/>
      <c r="R52" s="35"/>
      <c r="S52" s="35"/>
    </row>
    <row r="53" spans="1:19" s="2" customFormat="1" ht="14" x14ac:dyDescent="0.3">
      <c r="L53" s="35"/>
      <c r="M53" s="35"/>
      <c r="N53" s="35"/>
      <c r="O53" s="35"/>
      <c r="P53" s="35"/>
      <c r="Q53" s="35"/>
      <c r="R53" s="35"/>
      <c r="S53" s="35"/>
    </row>
    <row r="54" spans="1:19" s="2" customFormat="1" x14ac:dyDescent="0.35">
      <c r="K54"/>
      <c r="L54" s="35"/>
      <c r="M54" s="35"/>
      <c r="N54" s="35"/>
      <c r="O54" s="35"/>
      <c r="P54" s="35"/>
      <c r="Q54" s="35"/>
      <c r="R54" s="35"/>
      <c r="S54" s="35"/>
    </row>
    <row r="55" spans="1:19" x14ac:dyDescent="0.35">
      <c r="L55" s="35"/>
      <c r="M55" s="35"/>
      <c r="N55" s="35"/>
      <c r="O55" s="35"/>
      <c r="P55" s="35"/>
      <c r="Q55" s="35"/>
      <c r="R55" s="35"/>
      <c r="S55" s="35"/>
    </row>
    <row r="56" spans="1:19" x14ac:dyDescent="0.35">
      <c r="L56" s="35"/>
      <c r="M56" s="35"/>
      <c r="N56" s="35"/>
      <c r="O56" s="35"/>
      <c r="P56" s="35"/>
      <c r="Q56" s="35"/>
      <c r="R56" s="35"/>
      <c r="S56" s="35"/>
    </row>
    <row r="57" spans="1:19" x14ac:dyDescent="0.35">
      <c r="L57" s="35"/>
      <c r="M57" s="34"/>
      <c r="N57" s="34"/>
      <c r="O57" s="34"/>
      <c r="P57" s="34"/>
      <c r="Q57" s="34"/>
      <c r="R57" s="34"/>
      <c r="S57" s="34"/>
    </row>
    <row r="58" spans="1:19" x14ac:dyDescent="0.35">
      <c r="L58" s="34"/>
      <c r="M58" s="34"/>
      <c r="N58" s="34"/>
      <c r="O58" s="34"/>
      <c r="P58" s="34"/>
      <c r="Q58" s="34"/>
      <c r="R58" s="34"/>
      <c r="S58" s="34"/>
    </row>
    <row r="59" spans="1:19" x14ac:dyDescent="0.35">
      <c r="L59" s="34"/>
      <c r="M59" s="46"/>
      <c r="N59" s="46"/>
      <c r="O59" s="46"/>
      <c r="P59" s="46"/>
      <c r="Q59" s="46"/>
      <c r="R59" s="46"/>
      <c r="S59" s="46"/>
    </row>
    <row r="60" spans="1:19" x14ac:dyDescent="0.35">
      <c r="L60" s="46"/>
      <c r="M60" s="46"/>
      <c r="N60" s="46"/>
      <c r="O60" s="46"/>
      <c r="P60" s="46"/>
      <c r="Q60" s="46"/>
      <c r="R60" s="46"/>
      <c r="S60" s="46"/>
    </row>
    <row r="61" spans="1:19" x14ac:dyDescent="0.35">
      <c r="L61" s="46"/>
    </row>
  </sheetData>
  <mergeCells count="10">
    <mergeCell ref="E9:G9"/>
    <mergeCell ref="E10:G10"/>
    <mergeCell ref="B12:C12"/>
    <mergeCell ref="D12:E12"/>
    <mergeCell ref="E3:G3"/>
    <mergeCell ref="E4:G4"/>
    <mergeCell ref="E5:I5"/>
    <mergeCell ref="E6:G6"/>
    <mergeCell ref="E7:G7"/>
    <mergeCell ref="E8:G8"/>
  </mergeCells>
  <conditionalFormatting sqref="A14:A33 A35:A44">
    <cfRule type="expression" dxfId="11" priority="5">
      <formula>WEEKDAY(A14,2)&gt;5</formula>
    </cfRule>
  </conditionalFormatting>
  <conditionalFormatting sqref="A41:A42">
    <cfRule type="expression" dxfId="10" priority="3">
      <formula>MONTH(A42)&gt;MONTH(A$33)</formula>
    </cfRule>
    <cfRule type="expression" dxfId="9" priority="4">
      <formula>MONTH(B42)&gt;MONTH(B$33)</formula>
    </cfRule>
  </conditionalFormatting>
  <conditionalFormatting sqref="A43:A44">
    <cfRule type="expression" dxfId="8" priority="6">
      <formula>MONTH(#REF!)&gt;MONTH(A$33)</formula>
    </cfRule>
    <cfRule type="expression" dxfId="7" priority="7">
      <formula>MONTH(#REF!)&gt;MONTH(B$33)</formula>
    </cfRule>
  </conditionalFormatting>
  <conditionalFormatting sqref="A34">
    <cfRule type="expression" dxfId="6" priority="1">
      <formula>WEEKDAY(A34,2)&gt;5</formula>
    </cfRule>
  </conditionalFormatting>
  <dataValidations count="2">
    <dataValidation type="whole" allowBlank="1" showInputMessage="1" showErrorMessage="1" sqref="E10:G10" xr:uid="{5E1D6138-E067-46D9-A556-23D7A58EC602}">
      <formula1>0</formula1>
      <formula2>12350</formula2>
    </dataValidation>
    <dataValidation type="list" allowBlank="1" showInputMessage="1" showErrorMessage="1" sqref="E5" xr:uid="{37382204-BE1C-457D-AC5D-CD6F2140B13D}">
      <formula1>"Mitarbeiter, Inhaber, Massgebende Entscheidbefugnis, Ehegatte, Gesellschafter"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5139C-6514-4D09-97FB-FDBB71324494}">
  <sheetPr>
    <tabColor rgb="FF00B0F0"/>
  </sheetPr>
  <dimension ref="A1:U62"/>
  <sheetViews>
    <sheetView zoomScaleNormal="100" workbookViewId="0">
      <selection activeCell="F5" sqref="F5"/>
    </sheetView>
  </sheetViews>
  <sheetFormatPr baseColWidth="10" defaultRowHeight="14.5" x14ac:dyDescent="0.35"/>
  <cols>
    <col min="1" max="1" width="18.7265625" style="2" customWidth="1"/>
    <col min="2" max="3" width="8.7265625" style="2" customWidth="1"/>
    <col min="4" max="4" width="10" style="2" customWidth="1"/>
    <col min="5" max="5" width="8.7265625" style="2" customWidth="1"/>
    <col min="6" max="6" width="2.7265625" style="2" customWidth="1"/>
    <col min="7" max="7" width="11.453125" style="2"/>
    <col min="8" max="8" width="2.7265625" style="2" customWidth="1"/>
    <col min="9" max="9" width="11.453125" style="2"/>
    <col min="10" max="10" width="4.54296875" customWidth="1"/>
    <col min="11" max="11" width="2.7265625" customWidth="1"/>
    <col min="13" max="13" width="9.26953125" customWidth="1"/>
    <col min="17" max="17" width="9.54296875" customWidth="1"/>
    <col min="18" max="18" width="11.54296875" customWidth="1"/>
    <col min="19" max="19" width="2.7265625" customWidth="1"/>
    <col min="20" max="20" width="28.453125" customWidth="1"/>
  </cols>
  <sheetData>
    <row r="1" spans="1:20" s="2" customFormat="1" ht="14" x14ac:dyDescent="0.3">
      <c r="A1" s="1">
        <f>A14</f>
        <v>43952</v>
      </c>
      <c r="K1" s="37"/>
      <c r="L1" s="38"/>
      <c r="M1" s="38"/>
      <c r="N1" s="38"/>
      <c r="O1" s="38"/>
      <c r="P1" s="38"/>
      <c r="Q1" s="38"/>
      <c r="R1" s="38"/>
      <c r="S1" s="39"/>
    </row>
    <row r="2" spans="1:20" s="2" customFormat="1" ht="11.25" customHeight="1" x14ac:dyDescent="0.3">
      <c r="A2" s="1"/>
      <c r="K2" s="40"/>
      <c r="L2" s="34"/>
      <c r="M2" s="34"/>
      <c r="N2" s="34"/>
      <c r="O2" s="34"/>
      <c r="P2" s="34"/>
      <c r="Q2" s="34"/>
      <c r="R2" s="34"/>
      <c r="S2" s="41"/>
    </row>
    <row r="3" spans="1:20" s="2" customFormat="1" ht="15" customHeight="1" x14ac:dyDescent="0.3">
      <c r="A3" s="64" t="s">
        <v>0</v>
      </c>
      <c r="B3" s="65"/>
      <c r="C3" s="65"/>
      <c r="D3" s="65"/>
      <c r="E3" s="139" t="s">
        <v>107</v>
      </c>
      <c r="F3" s="139"/>
      <c r="G3" s="139"/>
      <c r="H3" s="65"/>
      <c r="I3" s="65"/>
      <c r="K3" s="40"/>
      <c r="L3" s="34"/>
      <c r="M3" s="34"/>
      <c r="N3" s="34"/>
      <c r="O3" s="34"/>
      <c r="P3" s="34"/>
      <c r="Q3" s="34"/>
      <c r="R3" s="34"/>
      <c r="S3" s="41"/>
      <c r="T3" s="34"/>
    </row>
    <row r="4" spans="1:20" s="2" customFormat="1" ht="14.25" customHeight="1" x14ac:dyDescent="0.3">
      <c r="A4" s="64" t="s">
        <v>1</v>
      </c>
      <c r="B4" s="65"/>
      <c r="C4" s="65"/>
      <c r="D4" s="65"/>
      <c r="E4" s="140" t="s">
        <v>113</v>
      </c>
      <c r="F4" s="140"/>
      <c r="G4" s="140"/>
      <c r="H4" s="65"/>
      <c r="I4" s="65"/>
      <c r="K4" s="40"/>
      <c r="L4" s="34"/>
      <c r="M4" s="34"/>
      <c r="N4" s="34"/>
      <c r="O4" s="34"/>
      <c r="P4" s="34" t="s">
        <v>87</v>
      </c>
      <c r="Q4" s="34"/>
      <c r="R4" s="34"/>
      <c r="S4" s="41"/>
      <c r="T4" s="34"/>
    </row>
    <row r="5" spans="1:20" s="2" customFormat="1" ht="14.25" customHeight="1" x14ac:dyDescent="0.3">
      <c r="A5" s="64" t="s">
        <v>18</v>
      </c>
      <c r="B5" s="65"/>
      <c r="C5" s="65"/>
      <c r="D5" s="65"/>
      <c r="E5" s="66" t="s">
        <v>56</v>
      </c>
      <c r="F5" s="66"/>
      <c r="G5" s="66"/>
      <c r="H5" s="65"/>
      <c r="I5" s="65"/>
      <c r="K5" s="40"/>
      <c r="L5" s="34"/>
      <c r="M5" s="34"/>
      <c r="N5" s="34"/>
      <c r="O5" s="34"/>
      <c r="P5" s="34" t="s">
        <v>88</v>
      </c>
      <c r="Q5" s="34"/>
      <c r="R5" s="34"/>
      <c r="S5" s="41"/>
      <c r="T5" s="34"/>
    </row>
    <row r="6" spans="1:20" s="2" customFormat="1" ht="17.25" customHeight="1" x14ac:dyDescent="0.5">
      <c r="A6" s="64" t="s">
        <v>54</v>
      </c>
      <c r="B6" s="65"/>
      <c r="C6" s="65"/>
      <c r="D6" s="65"/>
      <c r="E6" s="66">
        <v>110</v>
      </c>
      <c r="F6" s="66"/>
      <c r="G6" s="66"/>
      <c r="H6" s="65"/>
      <c r="I6" s="65"/>
      <c r="K6" s="40"/>
      <c r="L6" s="34"/>
      <c r="M6" s="34"/>
      <c r="N6" s="34"/>
      <c r="O6" s="34"/>
      <c r="P6" s="34" t="s">
        <v>89</v>
      </c>
      <c r="Q6" s="34"/>
      <c r="R6" s="34"/>
      <c r="S6" s="41"/>
      <c r="T6" s="34"/>
    </row>
    <row r="7" spans="1:20" s="2" customFormat="1" ht="14.25" customHeight="1" x14ac:dyDescent="0.3">
      <c r="A7" s="64" t="s">
        <v>64</v>
      </c>
      <c r="B7" s="65"/>
      <c r="C7" s="65"/>
      <c r="D7" s="65"/>
      <c r="E7" s="141">
        <v>1</v>
      </c>
      <c r="F7" s="141"/>
      <c r="G7" s="141"/>
      <c r="H7" s="65"/>
      <c r="I7" s="65"/>
      <c r="K7" s="40"/>
      <c r="L7" s="34"/>
      <c r="M7" s="34"/>
      <c r="N7" s="34"/>
      <c r="O7" s="34"/>
      <c r="P7" s="34"/>
      <c r="Q7" s="34"/>
      <c r="R7" s="34"/>
      <c r="S7" s="41"/>
      <c r="T7" s="34"/>
    </row>
    <row r="8" spans="1:20" s="2" customFormat="1" ht="14.25" customHeight="1" x14ac:dyDescent="0.3">
      <c r="A8" s="64" t="s">
        <v>55</v>
      </c>
      <c r="B8" s="65"/>
      <c r="C8" s="65"/>
      <c r="D8" s="65"/>
      <c r="E8" s="142">
        <f>E6/24*E7</f>
        <v>4.583333333333333</v>
      </c>
      <c r="F8" s="142"/>
      <c r="G8" s="142"/>
      <c r="H8" s="65"/>
      <c r="I8" s="65"/>
      <c r="K8" s="40"/>
      <c r="L8" s="34"/>
      <c r="M8" s="34"/>
      <c r="N8" s="34"/>
      <c r="O8" s="34"/>
      <c r="P8" s="34"/>
      <c r="Q8" s="34"/>
      <c r="R8" s="34"/>
      <c r="S8" s="41"/>
      <c r="T8" s="34"/>
    </row>
    <row r="9" spans="1:20" s="2" customFormat="1" ht="14.25" customHeight="1" x14ac:dyDescent="0.3">
      <c r="A9" s="64" t="s">
        <v>63</v>
      </c>
      <c r="B9" s="65"/>
      <c r="C9" s="65"/>
      <c r="D9" s="67"/>
      <c r="E9" s="138">
        <v>35.700000000000003</v>
      </c>
      <c r="F9" s="138"/>
      <c r="G9" s="138"/>
      <c r="H9" s="65"/>
      <c r="I9" s="65"/>
      <c r="K9" s="40"/>
      <c r="L9" s="34"/>
      <c r="M9" s="34"/>
      <c r="N9" s="34"/>
      <c r="O9" s="34"/>
      <c r="P9" s="34"/>
      <c r="Q9" s="34"/>
      <c r="R9" s="34"/>
      <c r="S9" s="41"/>
      <c r="T9" s="34"/>
    </row>
    <row r="10" spans="1:20" s="2" customFormat="1" ht="14.25" customHeight="1" x14ac:dyDescent="0.3">
      <c r="A10" s="64" t="s">
        <v>20</v>
      </c>
      <c r="B10" s="65"/>
      <c r="C10" s="65"/>
      <c r="D10" s="67"/>
      <c r="E10" s="67">
        <f>ROUND((($E$6*$E$9+($E$6*$E$9)*$P$23+($E$6*$E$9)*$P$24)+($E$6*$E$9+($E$6*$E$9)*$P$23+($E$6*$E$9)*$P$24)/12)*2,1)/2</f>
        <v>4803.45</v>
      </c>
      <c r="F10" s="67"/>
      <c r="G10" s="67"/>
      <c r="H10" s="65"/>
      <c r="I10" s="65"/>
      <c r="K10" s="40"/>
      <c r="L10" s="34"/>
      <c r="M10" s="34"/>
      <c r="N10" s="34"/>
      <c r="O10" s="34"/>
      <c r="P10" s="34"/>
      <c r="Q10" s="34"/>
      <c r="R10" s="34"/>
      <c r="S10" s="41"/>
      <c r="T10" s="34"/>
    </row>
    <row r="11" spans="1:20" s="2" customFormat="1" ht="14.25" customHeight="1" thickBot="1" x14ac:dyDescent="0.35">
      <c r="K11" s="40"/>
      <c r="L11" s="34" t="s">
        <v>76</v>
      </c>
      <c r="M11" s="34"/>
      <c r="N11" s="34"/>
      <c r="O11" s="34"/>
      <c r="P11" s="34"/>
      <c r="Q11" s="34"/>
      <c r="R11" s="34"/>
      <c r="S11" s="41"/>
      <c r="T11" s="34"/>
    </row>
    <row r="12" spans="1:20" s="2" customFormat="1" ht="14.25" customHeight="1" thickBot="1" x14ac:dyDescent="0.35">
      <c r="B12" s="132" t="s">
        <v>5</v>
      </c>
      <c r="C12" s="132"/>
      <c r="D12" s="133" t="s">
        <v>6</v>
      </c>
      <c r="E12" s="132"/>
      <c r="F12" s="6"/>
      <c r="G12" s="7" t="s">
        <v>7</v>
      </c>
      <c r="H12" s="6"/>
      <c r="I12" s="8" t="s">
        <v>8</v>
      </c>
      <c r="J12" s="9"/>
      <c r="K12" s="50"/>
      <c r="L12" s="34" t="str">
        <f>E3</f>
        <v>Heidi Zufall</v>
      </c>
      <c r="M12" s="34"/>
      <c r="N12" s="34"/>
      <c r="O12" s="34"/>
      <c r="P12" s="34"/>
      <c r="Q12" s="34"/>
      <c r="R12" s="34"/>
      <c r="S12" s="41"/>
      <c r="T12" s="34"/>
    </row>
    <row r="13" spans="1:20" s="2" customFormat="1" ht="14.25" customHeight="1" x14ac:dyDescent="0.3">
      <c r="B13" s="6" t="s">
        <v>9</v>
      </c>
      <c r="C13" s="6" t="s">
        <v>10</v>
      </c>
      <c r="D13" s="10" t="s">
        <v>9</v>
      </c>
      <c r="E13" s="6" t="s">
        <v>10</v>
      </c>
      <c r="F13" s="6"/>
      <c r="G13" s="11" t="s">
        <v>11</v>
      </c>
      <c r="H13" s="6"/>
      <c r="I13" s="11" t="s">
        <v>11</v>
      </c>
      <c r="K13" s="40"/>
      <c r="L13" s="34" t="s">
        <v>108</v>
      </c>
      <c r="M13" s="34"/>
      <c r="N13" s="34"/>
      <c r="O13" s="34"/>
      <c r="P13" s="34"/>
      <c r="Q13" s="34"/>
      <c r="R13" s="34"/>
      <c r="S13" s="41"/>
      <c r="T13" s="34"/>
    </row>
    <row r="14" spans="1:20" s="2" customFormat="1" ht="14.25" customHeight="1" x14ac:dyDescent="0.3">
      <c r="A14" s="12">
        <v>43952</v>
      </c>
      <c r="B14" s="13">
        <v>0.33333333333333331</v>
      </c>
      <c r="C14" s="14">
        <v>0.5</v>
      </c>
      <c r="D14" s="15"/>
      <c r="E14" s="13"/>
      <c r="F14" s="16"/>
      <c r="G14" s="17">
        <f>IF(B14="Ferien",I14,C14-B14+E14-D14)</f>
        <v>0.16666666666666669</v>
      </c>
      <c r="H14" s="18"/>
      <c r="I14" s="17"/>
      <c r="K14" s="40"/>
      <c r="L14" s="34" t="s">
        <v>109</v>
      </c>
      <c r="M14" s="34"/>
      <c r="N14" s="34"/>
      <c r="O14" s="34"/>
      <c r="P14" s="34"/>
      <c r="Q14" s="34"/>
      <c r="R14" s="34"/>
      <c r="S14" s="41"/>
      <c r="T14" s="34"/>
    </row>
    <row r="15" spans="1:20" s="2" customFormat="1" ht="14.25" customHeight="1" x14ac:dyDescent="0.3">
      <c r="A15" s="12">
        <f>A14+1</f>
        <v>43953</v>
      </c>
      <c r="B15" s="13"/>
      <c r="C15" s="14"/>
      <c r="D15" s="15"/>
      <c r="E15" s="13"/>
      <c r="F15" s="19"/>
      <c r="G15" s="17"/>
      <c r="H15" s="20"/>
      <c r="I15" s="17"/>
      <c r="K15" s="40"/>
      <c r="L15" s="34"/>
      <c r="M15" s="34"/>
      <c r="N15" s="34"/>
      <c r="O15" s="34"/>
      <c r="P15" s="34"/>
      <c r="Q15" s="34"/>
      <c r="R15" s="34"/>
      <c r="S15" s="41"/>
      <c r="T15" s="34"/>
    </row>
    <row r="16" spans="1:20" s="2" customFormat="1" ht="14.25" customHeight="1" x14ac:dyDescent="0.3">
      <c r="A16" s="12">
        <f t="shared" ref="A16:A44" si="0">A15+1</f>
        <v>43954</v>
      </c>
      <c r="B16" s="13"/>
      <c r="C16" s="14"/>
      <c r="D16" s="15"/>
      <c r="E16" s="13"/>
      <c r="F16" s="19"/>
      <c r="G16" s="17"/>
      <c r="H16" s="20"/>
      <c r="I16" s="17"/>
      <c r="K16" s="40"/>
      <c r="L16" s="34"/>
      <c r="M16" s="34"/>
      <c r="N16" s="34"/>
      <c r="O16" s="34"/>
      <c r="P16" s="34"/>
      <c r="Q16" s="34"/>
      <c r="R16" s="34"/>
      <c r="S16" s="41"/>
      <c r="T16" s="34"/>
    </row>
    <row r="17" spans="1:21" s="2" customFormat="1" ht="14.25" customHeight="1" x14ac:dyDescent="0.3">
      <c r="A17" s="12">
        <f>A16+1</f>
        <v>43955</v>
      </c>
      <c r="B17" s="13"/>
      <c r="C17" s="14"/>
      <c r="D17" s="15"/>
      <c r="E17" s="13"/>
      <c r="F17" s="19"/>
      <c r="G17" s="17">
        <f t="shared" ref="G17:G42" si="1">IF(B17="Ferien",I17,C17-B17+E17-D17)</f>
        <v>0</v>
      </c>
      <c r="H17" s="20"/>
      <c r="I17" s="17"/>
      <c r="K17" s="40"/>
      <c r="L17" s="47" t="s">
        <v>33</v>
      </c>
      <c r="M17" s="48"/>
      <c r="N17" s="49" t="s">
        <v>84</v>
      </c>
      <c r="O17" s="34"/>
      <c r="P17" s="34" t="s">
        <v>67</v>
      </c>
      <c r="Q17" s="106">
        <v>43972</v>
      </c>
      <c r="R17" s="34"/>
      <c r="S17" s="41"/>
      <c r="T17" s="34"/>
    </row>
    <row r="18" spans="1:21" s="2" customFormat="1" ht="14.25" customHeight="1" x14ac:dyDescent="0.3">
      <c r="A18" s="12">
        <f t="shared" si="0"/>
        <v>43956</v>
      </c>
      <c r="B18" s="13">
        <v>0.33333333333333331</v>
      </c>
      <c r="C18" s="14">
        <v>0.5</v>
      </c>
      <c r="D18" s="15"/>
      <c r="E18" s="13"/>
      <c r="F18" s="19"/>
      <c r="G18" s="17">
        <f t="shared" si="1"/>
        <v>0.16666666666666669</v>
      </c>
      <c r="H18" s="20"/>
      <c r="I18" s="17"/>
      <c r="K18" s="40"/>
      <c r="L18" s="34"/>
      <c r="M18" s="34"/>
      <c r="N18" s="34"/>
      <c r="O18" s="34"/>
      <c r="P18" s="34"/>
      <c r="Q18" s="34"/>
      <c r="R18" s="34"/>
      <c r="S18" s="41"/>
      <c r="T18" s="34"/>
    </row>
    <row r="19" spans="1:21" s="2" customFormat="1" ht="14.25" customHeight="1" x14ac:dyDescent="0.3">
      <c r="A19" s="12">
        <f t="shared" si="0"/>
        <v>43957</v>
      </c>
      <c r="B19" s="13">
        <v>0.375</v>
      </c>
      <c r="C19" s="14">
        <v>0.5</v>
      </c>
      <c r="D19" s="23"/>
      <c r="E19" s="21"/>
      <c r="F19" s="19"/>
      <c r="G19" s="17">
        <f t="shared" si="1"/>
        <v>0.125</v>
      </c>
      <c r="H19" s="20"/>
      <c r="I19" s="17"/>
      <c r="K19" s="40"/>
      <c r="L19" s="34"/>
      <c r="M19" s="34"/>
      <c r="N19" s="34"/>
      <c r="O19" s="34"/>
      <c r="P19" s="34"/>
      <c r="Q19" s="34"/>
      <c r="R19" s="34"/>
      <c r="S19" s="41"/>
      <c r="T19" s="34"/>
    </row>
    <row r="20" spans="1:21" s="2" customFormat="1" ht="14.25" customHeight="1" x14ac:dyDescent="0.3">
      <c r="A20" s="12">
        <f t="shared" si="0"/>
        <v>43958</v>
      </c>
      <c r="B20" s="13">
        <v>0.375</v>
      </c>
      <c r="C20" s="14">
        <v>0.5</v>
      </c>
      <c r="D20" s="23"/>
      <c r="E20" s="21"/>
      <c r="F20" s="19"/>
      <c r="G20" s="17">
        <f t="shared" si="1"/>
        <v>0.125</v>
      </c>
      <c r="H20" s="20"/>
      <c r="I20" s="17"/>
      <c r="K20" s="40"/>
      <c r="L20" s="34" t="s">
        <v>34</v>
      </c>
      <c r="M20" s="34"/>
      <c r="N20" s="59"/>
      <c r="O20" s="59" t="s">
        <v>22</v>
      </c>
      <c r="P20" s="59" t="s">
        <v>35</v>
      </c>
      <c r="Q20" s="59"/>
      <c r="R20" s="59" t="s">
        <v>36</v>
      </c>
      <c r="S20" s="41"/>
      <c r="T20" s="34"/>
    </row>
    <row r="21" spans="1:21" s="2" customFormat="1" ht="14.25" customHeight="1" x14ac:dyDescent="0.3">
      <c r="A21" s="12">
        <f t="shared" si="0"/>
        <v>43959</v>
      </c>
      <c r="B21" s="13">
        <v>0.41666666666666669</v>
      </c>
      <c r="C21" s="14">
        <v>0.5</v>
      </c>
      <c r="D21" s="15"/>
      <c r="E21" s="13"/>
      <c r="F21" s="19"/>
      <c r="G21" s="17">
        <f t="shared" si="1"/>
        <v>8.3333333333333315E-2</v>
      </c>
      <c r="H21" s="20"/>
      <c r="I21" s="17"/>
      <c r="K21" s="40"/>
      <c r="L21" s="35"/>
      <c r="M21" s="35"/>
      <c r="N21" s="60"/>
      <c r="O21" s="60"/>
      <c r="P21" s="60"/>
      <c r="Q21" s="60"/>
      <c r="R21" s="60"/>
      <c r="S21" s="42"/>
      <c r="T21" s="34"/>
    </row>
    <row r="22" spans="1:21" s="2" customFormat="1" ht="14.25" customHeight="1" x14ac:dyDescent="0.3">
      <c r="A22" s="12">
        <f t="shared" si="0"/>
        <v>43960</v>
      </c>
      <c r="B22" s="13"/>
      <c r="C22" s="14"/>
      <c r="D22" s="23"/>
      <c r="E22" s="21"/>
      <c r="F22" s="19"/>
      <c r="G22" s="17"/>
      <c r="H22" s="20"/>
      <c r="I22" s="17"/>
      <c r="K22" s="40"/>
      <c r="L22" s="35" t="s">
        <v>78</v>
      </c>
      <c r="M22" s="35"/>
      <c r="N22" s="60"/>
      <c r="O22" s="128">
        <f>Übersicht!G13</f>
        <v>54</v>
      </c>
      <c r="P22" s="60">
        <f>E9</f>
        <v>35.700000000000003</v>
      </c>
      <c r="Q22" s="60"/>
      <c r="R22" s="60">
        <f>ROUND(O22*P22*2,1)/2</f>
        <v>1927.8</v>
      </c>
      <c r="S22" s="42"/>
      <c r="T22" s="34"/>
    </row>
    <row r="23" spans="1:21" s="2" customFormat="1" ht="14.25" customHeight="1" x14ac:dyDescent="0.3">
      <c r="A23" s="12">
        <f t="shared" si="0"/>
        <v>43961</v>
      </c>
      <c r="B23" s="13"/>
      <c r="C23" s="14"/>
      <c r="D23" s="15"/>
      <c r="E23" s="13"/>
      <c r="F23" s="19"/>
      <c r="G23" s="17"/>
      <c r="H23" s="20"/>
      <c r="I23" s="17"/>
      <c r="K23" s="40"/>
      <c r="L23" s="35" t="s">
        <v>58</v>
      </c>
      <c r="M23" s="35"/>
      <c r="N23" s="60"/>
      <c r="O23" s="60"/>
      <c r="P23" s="68">
        <v>0.10639999999999999</v>
      </c>
      <c r="Q23" s="60"/>
      <c r="R23" s="60">
        <f>ROUND((($R$22)*P23)*2,1)/2</f>
        <v>205.1</v>
      </c>
      <c r="S23" s="42"/>
      <c r="T23" s="34"/>
    </row>
    <row r="24" spans="1:21" s="2" customFormat="1" ht="14.25" customHeight="1" x14ac:dyDescent="0.3">
      <c r="A24" s="12">
        <f t="shared" si="0"/>
        <v>43962</v>
      </c>
      <c r="B24" s="13"/>
      <c r="C24" s="14"/>
      <c r="D24" s="15"/>
      <c r="E24" s="13"/>
      <c r="F24" s="19"/>
      <c r="G24" s="17">
        <f t="shared" si="1"/>
        <v>0</v>
      </c>
      <c r="H24" s="20"/>
      <c r="I24" s="17"/>
      <c r="K24" s="40"/>
      <c r="L24" s="35" t="s">
        <v>57</v>
      </c>
      <c r="M24" s="35"/>
      <c r="N24" s="60"/>
      <c r="O24" s="60"/>
      <c r="P24" s="68">
        <v>2.2700000000000001E-2</v>
      </c>
      <c r="Q24" s="60"/>
      <c r="R24" s="60">
        <f>ROUND((($R$22)*P24)*2,1)/2</f>
        <v>43.75</v>
      </c>
      <c r="S24" s="42"/>
      <c r="T24" s="34"/>
    </row>
    <row r="25" spans="1:21" s="2" customFormat="1" ht="14.25" customHeight="1" x14ac:dyDescent="0.3">
      <c r="A25" s="12">
        <f t="shared" si="0"/>
        <v>43963</v>
      </c>
      <c r="B25" s="13">
        <v>0.29166666666666669</v>
      </c>
      <c r="C25" s="14">
        <v>0.5</v>
      </c>
      <c r="D25" s="15"/>
      <c r="E25" s="13"/>
      <c r="F25" s="19"/>
      <c r="G25" s="17">
        <f t="shared" si="1"/>
        <v>0.20833333333333331</v>
      </c>
      <c r="H25" s="20"/>
      <c r="I25" s="17"/>
      <c r="K25" s="40"/>
      <c r="L25" s="33" t="s">
        <v>59</v>
      </c>
      <c r="M25" s="33"/>
      <c r="N25" s="69"/>
      <c r="O25" s="69"/>
      <c r="P25" s="69">
        <f>SUM(R22:R24)</f>
        <v>2176.65</v>
      </c>
      <c r="Q25" s="69"/>
      <c r="R25" s="69">
        <f>ROUND((P25/12)*2,1)/2</f>
        <v>181.4</v>
      </c>
      <c r="S25" s="43"/>
      <c r="T25" s="34"/>
    </row>
    <row r="26" spans="1:21" s="2" customFormat="1" ht="14.25" customHeight="1" x14ac:dyDescent="0.3">
      <c r="A26" s="12">
        <f t="shared" si="0"/>
        <v>43964</v>
      </c>
      <c r="B26" s="13">
        <v>0.29166666666666669</v>
      </c>
      <c r="C26" s="14">
        <v>0.5</v>
      </c>
      <c r="D26" s="23"/>
      <c r="E26" s="21"/>
      <c r="F26" s="19"/>
      <c r="G26" s="17">
        <f t="shared" si="1"/>
        <v>0.20833333333333331</v>
      </c>
      <c r="H26" s="20"/>
      <c r="I26" s="17"/>
      <c r="K26" s="40"/>
      <c r="L26" s="36" t="s">
        <v>81</v>
      </c>
      <c r="M26" s="36"/>
      <c r="N26" s="70"/>
      <c r="O26" s="70"/>
      <c r="P26" s="70"/>
      <c r="Q26" s="70"/>
      <c r="R26" s="70">
        <f>SUM(R22:R25)</f>
        <v>2358.0500000000002</v>
      </c>
      <c r="S26" s="43"/>
      <c r="T26" s="34"/>
    </row>
    <row r="27" spans="1:21" s="2" customFormat="1" ht="14.25" customHeight="1" x14ac:dyDescent="0.3">
      <c r="A27" s="12">
        <f t="shared" si="0"/>
        <v>43965</v>
      </c>
      <c r="B27" s="13">
        <v>0.29166666666666669</v>
      </c>
      <c r="C27" s="14">
        <v>0.5</v>
      </c>
      <c r="D27" s="23"/>
      <c r="E27" s="21"/>
      <c r="F27" s="19"/>
      <c r="G27" s="17">
        <f t="shared" si="1"/>
        <v>0.20833333333333331</v>
      </c>
      <c r="H27" s="20"/>
      <c r="I27" s="17"/>
      <c r="K27" s="40"/>
      <c r="L27" s="36"/>
      <c r="M27" s="36"/>
      <c r="N27" s="70"/>
      <c r="O27" s="70"/>
      <c r="P27" s="70"/>
      <c r="Q27" s="70"/>
      <c r="R27" s="70"/>
      <c r="S27" s="43"/>
      <c r="T27" s="35"/>
      <c r="U27" s="85"/>
    </row>
    <row r="28" spans="1:21" s="2" customFormat="1" ht="14.25" customHeight="1" x14ac:dyDescent="0.3">
      <c r="A28" s="12">
        <f t="shared" si="0"/>
        <v>43966</v>
      </c>
      <c r="B28" s="13">
        <v>0.29166666666666669</v>
      </c>
      <c r="C28" s="14">
        <v>0.5</v>
      </c>
      <c r="D28" s="15"/>
      <c r="E28" s="13"/>
      <c r="F28" s="19"/>
      <c r="G28" s="17">
        <f t="shared" si="1"/>
        <v>0.20833333333333331</v>
      </c>
      <c r="H28" s="20"/>
      <c r="I28" s="17"/>
      <c r="K28" s="40"/>
      <c r="L28" s="2" t="s">
        <v>79</v>
      </c>
      <c r="O28" s="129">
        <f>Übersicht!G14*-1</f>
        <v>56</v>
      </c>
      <c r="P28" s="114">
        <f>E9</f>
        <v>35.700000000000003</v>
      </c>
      <c r="R28" s="25">
        <f>ROUND((O28*P28)*2,1)/2</f>
        <v>1999.2</v>
      </c>
      <c r="S28" s="42"/>
      <c r="T28" s="35"/>
      <c r="U28" s="85"/>
    </row>
    <row r="29" spans="1:21" s="2" customFormat="1" ht="14.25" customHeight="1" x14ac:dyDescent="0.3">
      <c r="A29" s="12">
        <f t="shared" si="0"/>
        <v>43967</v>
      </c>
      <c r="B29" s="13"/>
      <c r="C29" s="14"/>
      <c r="D29" s="23"/>
      <c r="E29" s="21"/>
      <c r="F29" s="19"/>
      <c r="G29" s="17"/>
      <c r="H29" s="20"/>
      <c r="I29" s="17"/>
      <c r="K29" s="40"/>
      <c r="L29" s="2" t="s">
        <v>80</v>
      </c>
      <c r="N29" s="115"/>
      <c r="P29" s="116">
        <v>0.2</v>
      </c>
      <c r="R29" s="25">
        <f>ROUND((R28*P29)*2,1)/2*-1</f>
        <v>-399.85</v>
      </c>
      <c r="S29" s="42"/>
      <c r="T29" s="35"/>
      <c r="U29" s="85"/>
    </row>
    <row r="30" spans="1:21" s="2" customFormat="1" ht="14.25" customHeight="1" x14ac:dyDescent="0.3">
      <c r="A30" s="12">
        <f t="shared" si="0"/>
        <v>43968</v>
      </c>
      <c r="B30" s="13"/>
      <c r="C30" s="14"/>
      <c r="D30" s="15"/>
      <c r="E30" s="13"/>
      <c r="F30" s="19"/>
      <c r="G30" s="17"/>
      <c r="H30" s="20"/>
      <c r="I30" s="17"/>
      <c r="K30" s="40"/>
      <c r="L30" s="35" t="s">
        <v>58</v>
      </c>
      <c r="N30" s="115"/>
      <c r="P30" s="68">
        <v>0.10639999999999999</v>
      </c>
      <c r="R30" s="25">
        <f>ROUND((R28*P30)*2,1)/2</f>
        <v>212.7</v>
      </c>
      <c r="S30" s="42"/>
      <c r="T30" s="35"/>
      <c r="U30" s="85"/>
    </row>
    <row r="31" spans="1:21" s="2" customFormat="1" ht="14.25" customHeight="1" x14ac:dyDescent="0.3">
      <c r="A31" s="12">
        <f t="shared" si="0"/>
        <v>43969</v>
      </c>
      <c r="B31" s="13">
        <v>0.375</v>
      </c>
      <c r="C31" s="14">
        <v>0.5</v>
      </c>
      <c r="D31" s="23"/>
      <c r="E31" s="21"/>
      <c r="F31" s="19"/>
      <c r="G31" s="17">
        <f t="shared" si="1"/>
        <v>0.125</v>
      </c>
      <c r="H31" s="20"/>
      <c r="I31" s="17"/>
      <c r="K31" s="40"/>
      <c r="L31" s="35" t="s">
        <v>57</v>
      </c>
      <c r="N31" s="115"/>
      <c r="P31" s="68">
        <v>2.2700000000000001E-2</v>
      </c>
      <c r="R31" s="25">
        <f>ROUND((R28*P31)*2,1)/2</f>
        <v>45.4</v>
      </c>
      <c r="S31" s="42"/>
      <c r="T31" s="35"/>
      <c r="U31" s="82"/>
    </row>
    <row r="32" spans="1:21" s="2" customFormat="1" ht="14.25" customHeight="1" x14ac:dyDescent="0.3">
      <c r="A32" s="12">
        <f t="shared" si="0"/>
        <v>43970</v>
      </c>
      <c r="B32" s="13">
        <v>0.375</v>
      </c>
      <c r="C32" s="14">
        <v>0.5</v>
      </c>
      <c r="D32" s="23"/>
      <c r="E32" s="21"/>
      <c r="F32" s="19"/>
      <c r="G32" s="17">
        <f t="shared" si="1"/>
        <v>0.125</v>
      </c>
      <c r="H32" s="20"/>
      <c r="I32" s="17"/>
      <c r="K32" s="40"/>
      <c r="L32" s="33" t="s">
        <v>59</v>
      </c>
      <c r="M32" s="27"/>
      <c r="N32" s="117"/>
      <c r="O32" s="27"/>
      <c r="P32" s="33">
        <f>(R28+R29+R30+R31)</f>
        <v>1857.45</v>
      </c>
      <c r="Q32" s="27"/>
      <c r="R32" s="28">
        <f>ROUND((P32/12)*2,1)/2</f>
        <v>154.80000000000001</v>
      </c>
      <c r="S32" s="42"/>
      <c r="T32" s="34"/>
    </row>
    <row r="33" spans="1:20" s="2" customFormat="1" ht="14.25" customHeight="1" x14ac:dyDescent="0.3">
      <c r="A33" s="12">
        <f t="shared" si="0"/>
        <v>43971</v>
      </c>
      <c r="B33" s="13">
        <v>0.375</v>
      </c>
      <c r="C33" s="14">
        <v>0.5</v>
      </c>
      <c r="D33" s="23"/>
      <c r="E33" s="21"/>
      <c r="F33" s="19"/>
      <c r="G33" s="17">
        <f t="shared" si="1"/>
        <v>0.125</v>
      </c>
      <c r="H33" s="20"/>
      <c r="I33" s="17"/>
      <c r="K33" s="40"/>
      <c r="L33" s="103" t="s">
        <v>82</v>
      </c>
      <c r="M33" s="103"/>
      <c r="N33" s="105"/>
      <c r="O33" s="105"/>
      <c r="P33" s="105"/>
      <c r="Q33" s="105"/>
      <c r="R33" s="105">
        <f>SUM(R28:R32)</f>
        <v>2012.25</v>
      </c>
      <c r="S33" s="42"/>
      <c r="T33" s="34"/>
    </row>
    <row r="34" spans="1:20" s="2" customFormat="1" ht="14.25" customHeight="1" x14ac:dyDescent="0.3">
      <c r="A34" s="108">
        <f t="shared" si="0"/>
        <v>43972</v>
      </c>
      <c r="B34" s="109"/>
      <c r="C34" s="110"/>
      <c r="D34" s="111"/>
      <c r="E34" s="112"/>
      <c r="F34" s="19"/>
      <c r="G34" s="113">
        <f t="shared" si="1"/>
        <v>0</v>
      </c>
      <c r="H34" s="20"/>
      <c r="I34" s="113"/>
      <c r="K34" s="40"/>
      <c r="L34" s="36" t="s">
        <v>38</v>
      </c>
      <c r="M34" s="36"/>
      <c r="N34" s="70"/>
      <c r="O34" s="70"/>
      <c r="P34" s="70"/>
      <c r="Q34" s="70"/>
      <c r="R34" s="70">
        <f>R26+R33</f>
        <v>4370.3</v>
      </c>
      <c r="S34" s="43"/>
      <c r="T34" s="34"/>
    </row>
    <row r="35" spans="1:20" s="2" customFormat="1" ht="14.25" customHeight="1" x14ac:dyDescent="0.3">
      <c r="A35" s="12">
        <f t="shared" si="0"/>
        <v>43973</v>
      </c>
      <c r="B35" s="13"/>
      <c r="C35" s="14"/>
      <c r="D35" s="23"/>
      <c r="E35" s="21"/>
      <c r="F35" s="19"/>
      <c r="G35" s="17">
        <f t="shared" si="1"/>
        <v>0</v>
      </c>
      <c r="H35" s="20"/>
      <c r="I35" s="17"/>
      <c r="K35" s="40"/>
      <c r="L35" s="35" t="s">
        <v>60</v>
      </c>
      <c r="M35" s="35"/>
      <c r="N35" s="60"/>
      <c r="O35" s="60"/>
      <c r="P35" s="60"/>
      <c r="Q35" s="60"/>
      <c r="R35" s="60">
        <v>230</v>
      </c>
      <c r="S35" s="42"/>
      <c r="T35" s="34"/>
    </row>
    <row r="36" spans="1:20" s="2" customFormat="1" ht="14.25" customHeight="1" x14ac:dyDescent="0.3">
      <c r="A36" s="12">
        <f t="shared" si="0"/>
        <v>43974</v>
      </c>
      <c r="B36" s="13"/>
      <c r="C36" s="14"/>
      <c r="D36" s="23"/>
      <c r="E36" s="21"/>
      <c r="F36" s="19"/>
      <c r="G36" s="17"/>
      <c r="H36" s="20"/>
      <c r="I36" s="17"/>
      <c r="K36" s="40"/>
      <c r="L36" s="36"/>
      <c r="M36" s="36"/>
      <c r="N36" s="70"/>
      <c r="O36" s="70"/>
      <c r="P36" s="70"/>
      <c r="Q36" s="70"/>
      <c r="R36" s="70"/>
      <c r="S36" s="42"/>
      <c r="T36" s="34"/>
    </row>
    <row r="37" spans="1:20" s="2" customFormat="1" ht="14.25" customHeight="1" x14ac:dyDescent="0.3">
      <c r="A37" s="12">
        <f t="shared" si="0"/>
        <v>43975</v>
      </c>
      <c r="B37" s="13"/>
      <c r="C37" s="14"/>
      <c r="D37" s="15"/>
      <c r="E37" s="13"/>
      <c r="F37" s="19"/>
      <c r="G37" s="17"/>
      <c r="H37" s="20"/>
      <c r="I37" s="17"/>
      <c r="K37" s="40"/>
      <c r="L37" s="35" t="s">
        <v>39</v>
      </c>
      <c r="M37" s="35"/>
      <c r="N37" s="60"/>
      <c r="O37" s="60">
        <f>$R$26+$R$28+$R$30+$R$31+(($R$28+$R$30+$R$31)/12)</f>
        <v>4803.458333333333</v>
      </c>
      <c r="P37" s="71">
        <v>5.2749999999999998E-2</v>
      </c>
      <c r="Q37" s="60"/>
      <c r="R37" s="60">
        <f>ROUND((O37*P37)*2,1)/2</f>
        <v>253.4</v>
      </c>
      <c r="S37" s="42"/>
      <c r="T37" s="34"/>
    </row>
    <row r="38" spans="1:20" s="2" customFormat="1" ht="14.25" customHeight="1" x14ac:dyDescent="0.3">
      <c r="A38" s="12">
        <f t="shared" si="0"/>
        <v>43976</v>
      </c>
      <c r="B38" s="13">
        <v>0.375</v>
      </c>
      <c r="C38" s="14">
        <v>0.5</v>
      </c>
      <c r="D38" s="15"/>
      <c r="E38" s="13"/>
      <c r="F38" s="19"/>
      <c r="G38" s="17">
        <f t="shared" si="1"/>
        <v>0.125</v>
      </c>
      <c r="H38" s="20"/>
      <c r="I38" s="17"/>
      <c r="K38" s="40"/>
      <c r="L38" s="35" t="s">
        <v>40</v>
      </c>
      <c r="M38" s="35"/>
      <c r="N38" s="60"/>
      <c r="O38" s="60">
        <f t="shared" ref="O38:O40" si="2">$R$26+$R$28+$R$30+$R$31+(($R$28+$R$30+$R$31)/12)</f>
        <v>4803.458333333333</v>
      </c>
      <c r="P38" s="71">
        <v>1.0999999999999999E-2</v>
      </c>
      <c r="Q38" s="60"/>
      <c r="R38" s="60">
        <f t="shared" ref="R38:R40" si="3">ROUND((O38*P38)*2,1)/2</f>
        <v>52.85</v>
      </c>
      <c r="S38" s="42"/>
      <c r="T38" s="34"/>
    </row>
    <row r="39" spans="1:20" s="2" customFormat="1" ht="14.25" customHeight="1" x14ac:dyDescent="0.3">
      <c r="A39" s="12">
        <f t="shared" si="0"/>
        <v>43977</v>
      </c>
      <c r="B39" s="13">
        <v>0.375</v>
      </c>
      <c r="C39" s="14">
        <v>0.5</v>
      </c>
      <c r="D39" s="15"/>
      <c r="E39" s="13"/>
      <c r="F39" s="19"/>
      <c r="G39" s="17">
        <f t="shared" si="1"/>
        <v>0.125</v>
      </c>
      <c r="H39" s="20"/>
      <c r="I39" s="17"/>
      <c r="K39" s="40"/>
      <c r="L39" s="35" t="s">
        <v>41</v>
      </c>
      <c r="M39" s="35"/>
      <c r="N39" s="60"/>
      <c r="O39" s="60">
        <v>0</v>
      </c>
      <c r="P39" s="71">
        <v>1.7299999999999999E-2</v>
      </c>
      <c r="Q39" s="60"/>
      <c r="R39" s="60">
        <f t="shared" si="3"/>
        <v>0</v>
      </c>
      <c r="S39" s="42"/>
      <c r="T39" s="34"/>
    </row>
    <row r="40" spans="1:20" s="2" customFormat="1" ht="14.25" customHeight="1" x14ac:dyDescent="0.3">
      <c r="A40" s="12">
        <f t="shared" si="0"/>
        <v>43978</v>
      </c>
      <c r="B40" s="13">
        <v>0.375</v>
      </c>
      <c r="C40" s="14">
        <v>0.5</v>
      </c>
      <c r="D40" s="23"/>
      <c r="E40" s="21"/>
      <c r="F40" s="19"/>
      <c r="G40" s="17">
        <f t="shared" si="1"/>
        <v>0.125</v>
      </c>
      <c r="H40" s="20"/>
      <c r="I40" s="17"/>
      <c r="K40" s="40"/>
      <c r="L40" s="35" t="s">
        <v>42</v>
      </c>
      <c r="M40" s="35"/>
      <c r="N40" s="60"/>
      <c r="O40" s="60">
        <f t="shared" si="2"/>
        <v>4803.458333333333</v>
      </c>
      <c r="P40" s="71">
        <v>7.9399999999999991E-3</v>
      </c>
      <c r="Q40" s="60"/>
      <c r="R40" s="60">
        <f t="shared" si="3"/>
        <v>38.15</v>
      </c>
      <c r="S40" s="42"/>
      <c r="T40" s="34"/>
    </row>
    <row r="41" spans="1:20" s="2" customFormat="1" ht="14.25" customHeight="1" x14ac:dyDescent="0.3">
      <c r="A41" s="12">
        <f t="shared" si="0"/>
        <v>43979</v>
      </c>
      <c r="B41" s="13"/>
      <c r="C41" s="14"/>
      <c r="D41" s="23"/>
      <c r="E41" s="21"/>
      <c r="F41" s="19"/>
      <c r="G41" s="17">
        <f t="shared" si="1"/>
        <v>0</v>
      </c>
      <c r="H41" s="20"/>
      <c r="I41" s="17"/>
      <c r="K41" s="40"/>
      <c r="L41" s="33" t="s">
        <v>43</v>
      </c>
      <c r="M41" s="33"/>
      <c r="N41" s="69"/>
      <c r="O41" s="69"/>
      <c r="P41" s="69"/>
      <c r="Q41" s="69"/>
      <c r="R41" s="69">
        <v>220</v>
      </c>
      <c r="S41" s="42"/>
      <c r="T41" s="34"/>
    </row>
    <row r="42" spans="1:20" s="2" customFormat="1" ht="14.25" customHeight="1" x14ac:dyDescent="0.3">
      <c r="A42" s="12">
        <f t="shared" si="0"/>
        <v>43980</v>
      </c>
      <c r="B42" s="13"/>
      <c r="C42" s="14"/>
      <c r="D42" s="15"/>
      <c r="E42" s="13"/>
      <c r="F42" s="19"/>
      <c r="G42" s="17">
        <f t="shared" si="1"/>
        <v>0</v>
      </c>
      <c r="H42" s="20"/>
      <c r="I42" s="17"/>
      <c r="K42" s="40"/>
      <c r="L42" s="36" t="s">
        <v>44</v>
      </c>
      <c r="M42" s="36"/>
      <c r="N42" s="70"/>
      <c r="O42" s="70"/>
      <c r="P42" s="70"/>
      <c r="Q42" s="70"/>
      <c r="R42" s="70">
        <f>R34+R35-SUM(R37:R41)</f>
        <v>4035.9</v>
      </c>
      <c r="S42" s="42"/>
      <c r="T42" s="34"/>
    </row>
    <row r="43" spans="1:20" s="2" customFormat="1" ht="14.25" customHeight="1" x14ac:dyDescent="0.3">
      <c r="A43" s="12">
        <f t="shared" si="0"/>
        <v>43981</v>
      </c>
      <c r="B43" s="21"/>
      <c r="C43" s="22"/>
      <c r="D43" s="23"/>
      <c r="E43" s="21"/>
      <c r="F43" s="19"/>
      <c r="G43" s="17"/>
      <c r="H43" s="20"/>
      <c r="I43" s="17"/>
      <c r="K43" s="40"/>
      <c r="L43" s="35"/>
      <c r="M43" s="35"/>
      <c r="N43" s="35"/>
      <c r="O43" s="35"/>
      <c r="P43" s="35"/>
      <c r="Q43" s="35"/>
      <c r="R43" s="35"/>
      <c r="S43" s="42"/>
      <c r="T43" s="34"/>
    </row>
    <row r="44" spans="1:20" s="2" customFormat="1" ht="14.25" customHeight="1" thickBot="1" x14ac:dyDescent="0.35">
      <c r="A44" s="12">
        <f t="shared" si="0"/>
        <v>43982</v>
      </c>
      <c r="B44" s="21"/>
      <c r="C44" s="21"/>
      <c r="D44" s="23"/>
      <c r="E44" s="21"/>
      <c r="F44" s="19"/>
      <c r="G44" s="17"/>
      <c r="H44" s="20"/>
      <c r="I44" s="24"/>
      <c r="K44" s="40"/>
      <c r="L44" s="36" t="s">
        <v>68</v>
      </c>
      <c r="M44" s="35"/>
      <c r="N44" s="35"/>
      <c r="O44" s="35"/>
      <c r="P44" s="35"/>
      <c r="Q44" s="35"/>
      <c r="R44" s="35"/>
      <c r="S44" s="42"/>
      <c r="T44" s="34"/>
    </row>
    <row r="45" spans="1:20" s="2" customFormat="1" ht="14.25" customHeight="1" x14ac:dyDescent="0.3">
      <c r="K45" s="40"/>
      <c r="L45" s="35" t="s">
        <v>91</v>
      </c>
      <c r="M45" s="35"/>
      <c r="N45" s="35"/>
      <c r="O45" s="35"/>
      <c r="P45" s="35"/>
      <c r="Q45" s="35"/>
      <c r="R45" s="35"/>
      <c r="S45" s="42"/>
      <c r="T45" s="34"/>
    </row>
    <row r="46" spans="1:20" s="2" customFormat="1" ht="14.25" customHeight="1" x14ac:dyDescent="0.3">
      <c r="A46" s="2" t="s">
        <v>13</v>
      </c>
      <c r="C46" s="25">
        <f>E6</f>
        <v>110</v>
      </c>
      <c r="E46" s="2" t="s">
        <v>15</v>
      </c>
      <c r="G46" s="25"/>
      <c r="I46" s="2">
        <v>0</v>
      </c>
      <c r="K46" s="40"/>
      <c r="L46" s="35" t="s">
        <v>92</v>
      </c>
      <c r="M46" s="35"/>
      <c r="N46" s="35"/>
      <c r="O46" s="35"/>
      <c r="P46" s="35"/>
      <c r="Q46" s="35"/>
      <c r="R46" s="35"/>
      <c r="S46" s="42"/>
      <c r="T46" s="34"/>
    </row>
    <row r="47" spans="1:20" s="2" customFormat="1" ht="14.25" customHeight="1" x14ac:dyDescent="0.3">
      <c r="A47" s="27" t="s">
        <v>14</v>
      </c>
      <c r="B47" s="27"/>
      <c r="C47" s="28">
        <f>SUM(G14:G44)*24</f>
        <v>54</v>
      </c>
      <c r="E47" s="27" t="s">
        <v>16</v>
      </c>
      <c r="F47" s="27"/>
      <c r="G47" s="28"/>
      <c r="H47" s="27"/>
      <c r="I47" s="27">
        <v>0</v>
      </c>
      <c r="K47" s="40"/>
      <c r="L47" s="35"/>
      <c r="M47" s="35"/>
      <c r="N47" s="35"/>
      <c r="O47" s="35"/>
      <c r="P47" s="35"/>
      <c r="Q47" s="35"/>
      <c r="R47" s="35"/>
      <c r="S47" s="42"/>
      <c r="T47" s="34"/>
    </row>
    <row r="48" spans="1:20" s="2" customFormat="1" ht="14.25" customHeight="1" thickBot="1" x14ac:dyDescent="0.35">
      <c r="A48" s="29" t="s">
        <v>12</v>
      </c>
      <c r="B48" s="29"/>
      <c r="C48" s="30">
        <f>C47-C46</f>
        <v>-56</v>
      </c>
      <c r="E48" s="29" t="s">
        <v>15</v>
      </c>
      <c r="F48" s="29"/>
      <c r="G48" s="30"/>
      <c r="H48" s="29"/>
      <c r="I48" s="29">
        <f>I46-I47</f>
        <v>0</v>
      </c>
      <c r="K48" s="40"/>
      <c r="L48" s="36" t="s">
        <v>45</v>
      </c>
      <c r="M48" s="35"/>
      <c r="N48" s="35"/>
      <c r="O48" s="35"/>
      <c r="P48" s="35"/>
      <c r="Q48" s="35"/>
      <c r="R48" s="35"/>
      <c r="S48" s="42"/>
      <c r="T48" s="34"/>
    </row>
    <row r="49" spans="1:20" s="2" customFormat="1" ht="14.25" customHeight="1" thickTop="1" x14ac:dyDescent="0.3">
      <c r="K49" s="40"/>
      <c r="L49" s="35" t="s">
        <v>46</v>
      </c>
      <c r="M49" s="35"/>
      <c r="N49" s="35"/>
      <c r="O49" s="35"/>
      <c r="P49" s="35"/>
      <c r="Q49" s="35"/>
      <c r="R49" s="35"/>
      <c r="S49" s="42"/>
      <c r="T49" s="34"/>
    </row>
    <row r="50" spans="1:20" s="2" customFormat="1" ht="14.25" customHeight="1" thickBot="1" x14ac:dyDescent="0.35">
      <c r="A50" s="32" t="s">
        <v>17</v>
      </c>
      <c r="E50" s="31" t="s">
        <v>30</v>
      </c>
      <c r="F50" s="31"/>
      <c r="G50" s="31"/>
      <c r="H50" s="31"/>
      <c r="I50" s="31"/>
      <c r="K50" s="40"/>
      <c r="L50" s="35" t="s">
        <v>47</v>
      </c>
      <c r="M50" s="35"/>
      <c r="N50" s="35"/>
      <c r="O50" s="35"/>
      <c r="P50" s="35"/>
      <c r="Q50" s="35"/>
      <c r="R50" s="35"/>
      <c r="S50" s="42"/>
      <c r="T50" s="34"/>
    </row>
    <row r="51" spans="1:20" s="2" customFormat="1" ht="14.25" customHeight="1" thickTop="1" x14ac:dyDescent="0.3">
      <c r="A51" s="26" t="s">
        <v>72</v>
      </c>
      <c r="K51" s="40"/>
      <c r="L51" s="35"/>
      <c r="M51" s="35"/>
      <c r="N51" s="35"/>
      <c r="O51" s="35"/>
      <c r="P51" s="35"/>
      <c r="Q51" s="35"/>
      <c r="R51" s="35"/>
      <c r="S51" s="42"/>
      <c r="T51" s="34"/>
    </row>
    <row r="52" spans="1:20" s="2" customFormat="1" ht="14.25" customHeight="1" thickBot="1" x14ac:dyDescent="0.35">
      <c r="A52" s="26"/>
      <c r="K52" s="51"/>
      <c r="L52" s="44"/>
      <c r="M52" s="44"/>
      <c r="N52" s="44"/>
      <c r="O52" s="44"/>
      <c r="P52" s="44"/>
      <c r="Q52" s="44"/>
      <c r="R52" s="44"/>
      <c r="S52" s="45"/>
      <c r="T52" s="34"/>
    </row>
    <row r="53" spans="1:20" s="2" customFormat="1" ht="14" x14ac:dyDescent="0.3">
      <c r="L53" s="35"/>
      <c r="M53" s="35"/>
      <c r="N53" s="35"/>
      <c r="O53" s="35"/>
      <c r="P53" s="35"/>
      <c r="Q53" s="35"/>
      <c r="R53" s="35"/>
      <c r="S53" s="35"/>
      <c r="T53" s="34"/>
    </row>
    <row r="54" spans="1:20" s="2" customFormat="1" ht="14" x14ac:dyDescent="0.3">
      <c r="L54" s="35"/>
      <c r="M54" s="35"/>
      <c r="N54" s="35"/>
      <c r="O54" s="35"/>
      <c r="P54" s="35"/>
      <c r="Q54" s="35"/>
      <c r="R54" s="35"/>
      <c r="S54" s="35"/>
      <c r="T54" s="34"/>
    </row>
    <row r="55" spans="1:20" x14ac:dyDescent="0.35">
      <c r="L55" s="35"/>
      <c r="M55" s="35"/>
      <c r="N55" s="35"/>
      <c r="O55" s="35"/>
      <c r="P55" s="35"/>
      <c r="Q55" s="35"/>
      <c r="R55" s="35"/>
      <c r="S55" s="35"/>
      <c r="T55" s="46"/>
    </row>
    <row r="56" spans="1:20" x14ac:dyDescent="0.35">
      <c r="L56" s="35"/>
      <c r="M56" s="35"/>
      <c r="N56" s="35"/>
      <c r="O56" s="35"/>
      <c r="P56" s="35"/>
      <c r="Q56" s="35"/>
      <c r="R56" s="35"/>
      <c r="S56" s="35"/>
      <c r="T56" s="46"/>
    </row>
    <row r="57" spans="1:20" x14ac:dyDescent="0.35">
      <c r="L57" s="35"/>
      <c r="M57" s="35"/>
      <c r="N57" s="35"/>
      <c r="O57" s="35"/>
      <c r="P57" s="35"/>
      <c r="Q57" s="35"/>
      <c r="R57" s="35"/>
      <c r="S57" s="35"/>
      <c r="T57" s="46"/>
    </row>
    <row r="58" spans="1:20" x14ac:dyDescent="0.35">
      <c r="L58" s="35"/>
      <c r="M58" s="34"/>
      <c r="N58" s="34"/>
      <c r="O58" s="34"/>
      <c r="P58" s="34"/>
      <c r="Q58" s="34"/>
      <c r="R58" s="34"/>
      <c r="S58" s="34"/>
      <c r="T58" s="46"/>
    </row>
    <row r="59" spans="1:20" x14ac:dyDescent="0.35">
      <c r="L59" s="34"/>
      <c r="M59" s="34"/>
      <c r="N59" s="34"/>
      <c r="O59" s="34"/>
      <c r="P59" s="34"/>
      <c r="Q59" s="34"/>
      <c r="R59" s="34"/>
      <c r="S59" s="34"/>
      <c r="T59" s="46"/>
    </row>
    <row r="60" spans="1:20" x14ac:dyDescent="0.35">
      <c r="L60" s="34"/>
      <c r="M60" s="46"/>
      <c r="N60" s="46"/>
      <c r="O60" s="46"/>
      <c r="P60" s="46"/>
      <c r="Q60" s="46"/>
      <c r="R60" s="46"/>
      <c r="S60" s="46"/>
    </row>
    <row r="61" spans="1:20" x14ac:dyDescent="0.35">
      <c r="L61" s="46"/>
      <c r="M61" s="46"/>
      <c r="N61" s="46"/>
      <c r="O61" s="46"/>
      <c r="P61" s="46"/>
      <c r="Q61" s="46"/>
      <c r="R61" s="46"/>
      <c r="S61" s="46"/>
    </row>
    <row r="62" spans="1:20" x14ac:dyDescent="0.35">
      <c r="L62" s="46"/>
    </row>
  </sheetData>
  <mergeCells count="7">
    <mergeCell ref="E9:G9"/>
    <mergeCell ref="B12:C12"/>
    <mergeCell ref="D12:E12"/>
    <mergeCell ref="E3:G3"/>
    <mergeCell ref="E4:G4"/>
    <mergeCell ref="E7:G7"/>
    <mergeCell ref="E8:G8"/>
  </mergeCells>
  <conditionalFormatting sqref="A14:A33 A35:A44">
    <cfRule type="expression" dxfId="5" priority="5">
      <formula>WEEKDAY(A14,2)&gt;5</formula>
    </cfRule>
  </conditionalFormatting>
  <conditionalFormatting sqref="A41:A42">
    <cfRule type="expression" dxfId="4" priority="3">
      <formula>MONTH(A42)&gt;MONTH(A$33)</formula>
    </cfRule>
    <cfRule type="expression" dxfId="3" priority="4">
      <formula>MONTH(B42)&gt;MONTH(B$33)</formula>
    </cfRule>
  </conditionalFormatting>
  <conditionalFormatting sqref="A43:A44">
    <cfRule type="expression" dxfId="2" priority="6">
      <formula>MONTH(#REF!)&gt;MONTH(A$33)</formula>
    </cfRule>
    <cfRule type="expression" dxfId="1" priority="7">
      <formula>MONTH(#REF!)&gt;MONTH(B$33)</formula>
    </cfRule>
  </conditionalFormatting>
  <conditionalFormatting sqref="A34">
    <cfRule type="expression" dxfId="0" priority="1">
      <formula>WEEKDAY(A34,2)&gt;5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</vt:lpstr>
      <vt:lpstr>Mai_BM</vt:lpstr>
      <vt:lpstr>Mai_AB</vt:lpstr>
      <vt:lpstr>Mai_HM</vt:lpstr>
      <vt:lpstr>Mai_EB</vt:lpstr>
      <vt:lpstr>Mai_RV</vt:lpstr>
      <vt:lpstr>Mai_HZ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plang</dc:creator>
  <cp:lastModifiedBy>plang</cp:lastModifiedBy>
  <cp:lastPrinted>2020-04-22T14:49:12Z</cp:lastPrinted>
  <dcterms:created xsi:type="dcterms:W3CDTF">2020-04-01T13:04:15Z</dcterms:created>
  <dcterms:modified xsi:type="dcterms:W3CDTF">2020-04-29T06:20:26Z</dcterms:modified>
</cp:coreProperties>
</file>